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275"/>
  </bookViews>
  <sheets>
    <sheet name="Krycí list rozpočtu" sheetId="4" r:id="rId1"/>
    <sheet name="Rozpočet - Jen podskupiny" sheetId="2" r:id="rId2"/>
    <sheet name="Stavební rozpočet" sheetId="1" r:id="rId3"/>
    <sheet name="Výkaz výměr" sheetId="3" r:id="rId4"/>
    <sheet name="VORN" sheetId="5" state="hidden" r:id="rId5"/>
  </sheets>
  <definedNames>
    <definedName name="_xlnm.Print_Titles" localSheetId="2">'Stavební rozpočet'!$10:$11</definedName>
    <definedName name="_xlnm.Print_Titles" localSheetId="3">'Výkaz výměr'!$10:$10</definedName>
    <definedName name="vorn_sum">VORN!$I$36</definedName>
  </definedNames>
  <calcPr calcId="145621"/>
</workbook>
</file>

<file path=xl/calcChain.xml><?xml version="1.0" encoding="utf-8"?>
<calcChain xmlns="http://schemas.openxmlformats.org/spreadsheetml/2006/main">
  <c r="I35" i="5" l="1"/>
  <c r="I36" i="5" s="1"/>
  <c r="I24" i="4" s="1"/>
  <c r="I26" i="5"/>
  <c r="I25" i="5"/>
  <c r="I24" i="5"/>
  <c r="I23" i="5"/>
  <c r="I16" i="4" s="1"/>
  <c r="I22" i="5"/>
  <c r="I17" i="5"/>
  <c r="I16" i="5"/>
  <c r="I15" i="5"/>
  <c r="I18" i="5" s="1"/>
  <c r="I10" i="5"/>
  <c r="F10" i="5"/>
  <c r="C10" i="5"/>
  <c r="F8" i="5"/>
  <c r="C8" i="5"/>
  <c r="F6" i="5"/>
  <c r="C6" i="5"/>
  <c r="F4" i="5"/>
  <c r="C4" i="5"/>
  <c r="F2" i="5"/>
  <c r="C2" i="5"/>
  <c r="I19" i="4"/>
  <c r="I18" i="4"/>
  <c r="I17" i="4"/>
  <c r="F16" i="4"/>
  <c r="I15" i="4"/>
  <c r="F15" i="4"/>
  <c r="F14" i="4"/>
  <c r="F22" i="4" s="1"/>
  <c r="I10" i="4"/>
  <c r="F10" i="4"/>
  <c r="C10" i="4"/>
  <c r="F8" i="4"/>
  <c r="C8" i="4"/>
  <c r="F6" i="4"/>
  <c r="C6" i="4"/>
  <c r="F4" i="4"/>
  <c r="C4" i="4"/>
  <c r="F2" i="4"/>
  <c r="C2" i="4"/>
  <c r="F8" i="3"/>
  <c r="C8" i="3"/>
  <c r="F6" i="3"/>
  <c r="C6" i="3"/>
  <c r="F4" i="3"/>
  <c r="C4" i="3"/>
  <c r="F2" i="3"/>
  <c r="C2" i="3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J8" i="2"/>
  <c r="H8" i="2"/>
  <c r="D8" i="2"/>
  <c r="J6" i="2"/>
  <c r="H6" i="2"/>
  <c r="D6" i="2"/>
  <c r="J4" i="2"/>
  <c r="H4" i="2"/>
  <c r="D4" i="2"/>
  <c r="J2" i="2"/>
  <c r="H2" i="2"/>
  <c r="D2" i="2"/>
  <c r="BJ89" i="1"/>
  <c r="BH89" i="1"/>
  <c r="BF89" i="1"/>
  <c r="BD89" i="1"/>
  <c r="AP89" i="1"/>
  <c r="AX89" i="1" s="1"/>
  <c r="AO89" i="1"/>
  <c r="AL89" i="1"/>
  <c r="AK89" i="1"/>
  <c r="AJ89" i="1"/>
  <c r="AH89" i="1"/>
  <c r="AG89" i="1"/>
  <c r="AF89" i="1"/>
  <c r="AE89" i="1"/>
  <c r="AD89" i="1"/>
  <c r="AC89" i="1"/>
  <c r="AB89" i="1"/>
  <c r="Z89" i="1"/>
  <c r="J89" i="1"/>
  <c r="I89" i="1"/>
  <c r="BJ88" i="1"/>
  <c r="Z88" i="1" s="1"/>
  <c r="BI88" i="1"/>
  <c r="BF88" i="1"/>
  <c r="BD88" i="1"/>
  <c r="AP88" i="1"/>
  <c r="AO88" i="1"/>
  <c r="BH88" i="1" s="1"/>
  <c r="AL88" i="1"/>
  <c r="AK88" i="1"/>
  <c r="AH88" i="1"/>
  <c r="AG88" i="1"/>
  <c r="AF88" i="1"/>
  <c r="AE88" i="1"/>
  <c r="AD88" i="1"/>
  <c r="AC88" i="1"/>
  <c r="AB88" i="1"/>
  <c r="J88" i="1"/>
  <c r="AJ88" i="1" s="1"/>
  <c r="BJ86" i="1"/>
  <c r="Z86" i="1" s="1"/>
  <c r="BF86" i="1"/>
  <c r="BD86" i="1"/>
  <c r="AW86" i="1"/>
  <c r="AP86" i="1"/>
  <c r="BI86" i="1" s="1"/>
  <c r="AO86" i="1"/>
  <c r="BH86" i="1" s="1"/>
  <c r="AL86" i="1"/>
  <c r="AK86" i="1"/>
  <c r="AJ86" i="1"/>
  <c r="AH86" i="1"/>
  <c r="AG86" i="1"/>
  <c r="AF86" i="1"/>
  <c r="AE86" i="1"/>
  <c r="AD86" i="1"/>
  <c r="AC86" i="1"/>
  <c r="AB86" i="1"/>
  <c r="J86" i="1"/>
  <c r="H86" i="1"/>
  <c r="BJ85" i="1"/>
  <c r="Z85" i="1" s="1"/>
  <c r="BF85" i="1"/>
  <c r="BD85" i="1"/>
  <c r="AX85" i="1"/>
  <c r="AW85" i="1"/>
  <c r="AP85" i="1"/>
  <c r="BI85" i="1" s="1"/>
  <c r="AO85" i="1"/>
  <c r="BH85" i="1" s="1"/>
  <c r="AL85" i="1"/>
  <c r="AU84" i="1" s="1"/>
  <c r="AK85" i="1"/>
  <c r="AT84" i="1" s="1"/>
  <c r="AH85" i="1"/>
  <c r="AG85" i="1"/>
  <c r="AF85" i="1"/>
  <c r="AE85" i="1"/>
  <c r="AD85" i="1"/>
  <c r="AC85" i="1"/>
  <c r="AB85" i="1"/>
  <c r="J85" i="1"/>
  <c r="AJ85" i="1" s="1"/>
  <c r="I85" i="1"/>
  <c r="H85" i="1"/>
  <c r="J84" i="1"/>
  <c r="L30" i="2" s="1"/>
  <c r="N30" i="2" s="1"/>
  <c r="BJ82" i="1"/>
  <c r="BF82" i="1"/>
  <c r="BD82" i="1"/>
  <c r="AW82" i="1"/>
  <c r="AP82" i="1"/>
  <c r="BI82" i="1" s="1"/>
  <c r="AG82" i="1" s="1"/>
  <c r="AO82" i="1"/>
  <c r="BH82" i="1" s="1"/>
  <c r="AF82" i="1" s="1"/>
  <c r="AL82" i="1"/>
  <c r="AK82" i="1"/>
  <c r="AT81" i="1" s="1"/>
  <c r="AJ82" i="1"/>
  <c r="AS81" i="1" s="1"/>
  <c r="AH82" i="1"/>
  <c r="AE82" i="1"/>
  <c r="AD82" i="1"/>
  <c r="AC82" i="1"/>
  <c r="AB82" i="1"/>
  <c r="Z82" i="1"/>
  <c r="J82" i="1"/>
  <c r="H82" i="1"/>
  <c r="H81" i="1" s="1"/>
  <c r="J29" i="2" s="1"/>
  <c r="AU81" i="1"/>
  <c r="J81" i="1"/>
  <c r="L29" i="2" s="1"/>
  <c r="N29" i="2" s="1"/>
  <c r="BJ80" i="1"/>
  <c r="Z80" i="1" s="1"/>
  <c r="BF80" i="1"/>
  <c r="BD80" i="1"/>
  <c r="AP80" i="1"/>
  <c r="BI80" i="1" s="1"/>
  <c r="AO80" i="1"/>
  <c r="BH80" i="1" s="1"/>
  <c r="AL80" i="1"/>
  <c r="AK80" i="1"/>
  <c r="AH80" i="1"/>
  <c r="AG80" i="1"/>
  <c r="AF80" i="1"/>
  <c r="AE80" i="1"/>
  <c r="AD80" i="1"/>
  <c r="AC80" i="1"/>
  <c r="AB80" i="1"/>
  <c r="J80" i="1"/>
  <c r="J79" i="1" s="1"/>
  <c r="L28" i="2" s="1"/>
  <c r="N28" i="2" s="1"/>
  <c r="AU79" i="1"/>
  <c r="AT79" i="1"/>
  <c r="BJ78" i="1"/>
  <c r="BH78" i="1"/>
  <c r="AB78" i="1" s="1"/>
  <c r="BF78" i="1"/>
  <c r="BD78" i="1"/>
  <c r="AP78" i="1"/>
  <c r="AX78" i="1" s="1"/>
  <c r="AO78" i="1"/>
  <c r="AL78" i="1"/>
  <c r="AK78" i="1"/>
  <c r="AJ78" i="1"/>
  <c r="AH78" i="1"/>
  <c r="AG78" i="1"/>
  <c r="AF78" i="1"/>
  <c r="AE78" i="1"/>
  <c r="AD78" i="1"/>
  <c r="Z78" i="1"/>
  <c r="J78" i="1"/>
  <c r="I78" i="1"/>
  <c r="BJ77" i="1"/>
  <c r="BI77" i="1"/>
  <c r="AC77" i="1" s="1"/>
  <c r="BF77" i="1"/>
  <c r="BD77" i="1"/>
  <c r="AP77" i="1"/>
  <c r="AO77" i="1"/>
  <c r="BH77" i="1" s="1"/>
  <c r="AB77" i="1" s="1"/>
  <c r="AL77" i="1"/>
  <c r="AK77" i="1"/>
  <c r="AH77" i="1"/>
  <c r="AG77" i="1"/>
  <c r="AF77" i="1"/>
  <c r="AE77" i="1"/>
  <c r="AD77" i="1"/>
  <c r="Z77" i="1"/>
  <c r="J77" i="1"/>
  <c r="J76" i="1" s="1"/>
  <c r="L27" i="2" s="1"/>
  <c r="N27" i="2" s="1"/>
  <c r="AU76" i="1"/>
  <c r="AT76" i="1"/>
  <c r="BJ75" i="1"/>
  <c r="BH75" i="1"/>
  <c r="AB75" i="1" s="1"/>
  <c r="BF75" i="1"/>
  <c r="BD75" i="1"/>
  <c r="AP75" i="1"/>
  <c r="AX75" i="1" s="1"/>
  <c r="AO75" i="1"/>
  <c r="AL75" i="1"/>
  <c r="AU74" i="1" s="1"/>
  <c r="AK75" i="1"/>
  <c r="AJ75" i="1"/>
  <c r="AH75" i="1"/>
  <c r="AG75" i="1"/>
  <c r="AF75" i="1"/>
  <c r="AE75" i="1"/>
  <c r="AD75" i="1"/>
  <c r="Z75" i="1"/>
  <c r="J75" i="1"/>
  <c r="J74" i="1" s="1"/>
  <c r="L26" i="2" s="1"/>
  <c r="N26" i="2" s="1"/>
  <c r="I75" i="1"/>
  <c r="I74" i="1" s="1"/>
  <c r="K26" i="2" s="1"/>
  <c r="AT74" i="1"/>
  <c r="AS74" i="1"/>
  <c r="BJ72" i="1"/>
  <c r="BF72" i="1"/>
  <c r="BD72" i="1"/>
  <c r="AX72" i="1"/>
  <c r="AP72" i="1"/>
  <c r="BI72" i="1" s="1"/>
  <c r="AE72" i="1" s="1"/>
  <c r="AO72" i="1"/>
  <c r="AW72" i="1" s="1"/>
  <c r="AL72" i="1"/>
  <c r="AK72" i="1"/>
  <c r="AH72" i="1"/>
  <c r="AG72" i="1"/>
  <c r="AF72" i="1"/>
  <c r="AC72" i="1"/>
  <c r="AB72" i="1"/>
  <c r="Z72" i="1"/>
  <c r="J72" i="1"/>
  <c r="AJ72" i="1" s="1"/>
  <c r="AS70" i="1" s="1"/>
  <c r="I72" i="1"/>
  <c r="H72" i="1"/>
  <c r="BJ71" i="1"/>
  <c r="BF71" i="1"/>
  <c r="BD71" i="1"/>
  <c r="AP71" i="1"/>
  <c r="AX71" i="1" s="1"/>
  <c r="AO71" i="1"/>
  <c r="BH71" i="1" s="1"/>
  <c r="AD71" i="1" s="1"/>
  <c r="AL71" i="1"/>
  <c r="AK71" i="1"/>
  <c r="AJ71" i="1"/>
  <c r="AH71" i="1"/>
  <c r="AG71" i="1"/>
  <c r="AF71" i="1"/>
  <c r="AC71" i="1"/>
  <c r="AB71" i="1"/>
  <c r="Z71" i="1"/>
  <c r="J71" i="1"/>
  <c r="J70" i="1" s="1"/>
  <c r="L25" i="2" s="1"/>
  <c r="N25" i="2" s="1"/>
  <c r="I71" i="1"/>
  <c r="I70" i="1" s="1"/>
  <c r="K25" i="2" s="1"/>
  <c r="AT70" i="1"/>
  <c r="BJ69" i="1"/>
  <c r="BF69" i="1"/>
  <c r="BD69" i="1"/>
  <c r="AX69" i="1"/>
  <c r="AP69" i="1"/>
  <c r="BI69" i="1" s="1"/>
  <c r="AE69" i="1" s="1"/>
  <c r="AO69" i="1"/>
  <c r="AW69" i="1" s="1"/>
  <c r="AL69" i="1"/>
  <c r="AU65" i="1" s="1"/>
  <c r="AK69" i="1"/>
  <c r="AH69" i="1"/>
  <c r="AG69" i="1"/>
  <c r="AF69" i="1"/>
  <c r="AC69" i="1"/>
  <c r="AB69" i="1"/>
  <c r="Z69" i="1"/>
  <c r="J69" i="1"/>
  <c r="AJ69" i="1" s="1"/>
  <c r="I69" i="1"/>
  <c r="H69" i="1"/>
  <c r="BJ68" i="1"/>
  <c r="BH68" i="1"/>
  <c r="BF68" i="1"/>
  <c r="BD68" i="1"/>
  <c r="AP68" i="1"/>
  <c r="AX68" i="1" s="1"/>
  <c r="AO68" i="1"/>
  <c r="AL68" i="1"/>
  <c r="AK68" i="1"/>
  <c r="AJ68" i="1"/>
  <c r="AH68" i="1"/>
  <c r="AG68" i="1"/>
  <c r="AF68" i="1"/>
  <c r="AD68" i="1"/>
  <c r="AC68" i="1"/>
  <c r="AB68" i="1"/>
  <c r="Z68" i="1"/>
  <c r="J68" i="1"/>
  <c r="I68" i="1"/>
  <c r="BJ66" i="1"/>
  <c r="BF66" i="1"/>
  <c r="BD66" i="1"/>
  <c r="AP66" i="1"/>
  <c r="BI66" i="1" s="1"/>
  <c r="AE66" i="1" s="1"/>
  <c r="AO66" i="1"/>
  <c r="BH66" i="1" s="1"/>
  <c r="AD66" i="1" s="1"/>
  <c r="AL66" i="1"/>
  <c r="AK66" i="1"/>
  <c r="AH66" i="1"/>
  <c r="AG66" i="1"/>
  <c r="AF66" i="1"/>
  <c r="AC66" i="1"/>
  <c r="AB66" i="1"/>
  <c r="Z66" i="1"/>
  <c r="J66" i="1"/>
  <c r="J65" i="1" s="1"/>
  <c r="L24" i="2" s="1"/>
  <c r="N24" i="2" s="1"/>
  <c r="AT65" i="1"/>
  <c r="BJ63" i="1"/>
  <c r="BF63" i="1"/>
  <c r="BD63" i="1"/>
  <c r="AP63" i="1"/>
  <c r="AX63" i="1" s="1"/>
  <c r="AO63" i="1"/>
  <c r="BH63" i="1" s="1"/>
  <c r="AD63" i="1" s="1"/>
  <c r="AL63" i="1"/>
  <c r="AK63" i="1"/>
  <c r="AJ63" i="1"/>
  <c r="AH63" i="1"/>
  <c r="AG63" i="1"/>
  <c r="AF63" i="1"/>
  <c r="AC63" i="1"/>
  <c r="AB63" i="1"/>
  <c r="Z63" i="1"/>
  <c r="J63" i="1"/>
  <c r="I63" i="1"/>
  <c r="BJ62" i="1"/>
  <c r="BI62" i="1"/>
  <c r="AE62" i="1" s="1"/>
  <c r="BF62" i="1"/>
  <c r="BD62" i="1"/>
  <c r="AP62" i="1"/>
  <c r="AO62" i="1"/>
  <c r="BH62" i="1" s="1"/>
  <c r="AD62" i="1" s="1"/>
  <c r="AL62" i="1"/>
  <c r="AK62" i="1"/>
  <c r="AH62" i="1"/>
  <c r="AG62" i="1"/>
  <c r="AF62" i="1"/>
  <c r="AC62" i="1"/>
  <c r="AB62" i="1"/>
  <c r="Z62" i="1"/>
  <c r="J62" i="1"/>
  <c r="J61" i="1" s="1"/>
  <c r="L23" i="2" s="1"/>
  <c r="N23" i="2" s="1"/>
  <c r="AU61" i="1"/>
  <c r="AT61" i="1"/>
  <c r="BJ60" i="1"/>
  <c r="BH60" i="1"/>
  <c r="BF60" i="1"/>
  <c r="BD60" i="1"/>
  <c r="AP60" i="1"/>
  <c r="AX60" i="1" s="1"/>
  <c r="AO60" i="1"/>
  <c r="AL60" i="1"/>
  <c r="AK60" i="1"/>
  <c r="AJ60" i="1"/>
  <c r="AH60" i="1"/>
  <c r="AG60" i="1"/>
  <c r="AF60" i="1"/>
  <c r="AD60" i="1"/>
  <c r="AC60" i="1"/>
  <c r="AB60" i="1"/>
  <c r="Z60" i="1"/>
  <c r="J60" i="1"/>
  <c r="I60" i="1"/>
  <c r="BJ59" i="1"/>
  <c r="BF59" i="1"/>
  <c r="BD59" i="1"/>
  <c r="AP59" i="1"/>
  <c r="AO59" i="1"/>
  <c r="BH59" i="1" s="1"/>
  <c r="AD59" i="1" s="1"/>
  <c r="AL59" i="1"/>
  <c r="AK59" i="1"/>
  <c r="AH59" i="1"/>
  <c r="AG59" i="1"/>
  <c r="AF59" i="1"/>
  <c r="AC59" i="1"/>
  <c r="AB59" i="1"/>
  <c r="Z59" i="1"/>
  <c r="J59" i="1"/>
  <c r="J58" i="1" s="1"/>
  <c r="L22" i="2" s="1"/>
  <c r="N22" i="2" s="1"/>
  <c r="AU58" i="1"/>
  <c r="AT58" i="1"/>
  <c r="BJ57" i="1"/>
  <c r="BF57" i="1"/>
  <c r="BD57" i="1"/>
  <c r="AP57" i="1"/>
  <c r="AX57" i="1" s="1"/>
  <c r="AO57" i="1"/>
  <c r="BH57" i="1" s="1"/>
  <c r="AD57" i="1" s="1"/>
  <c r="AL57" i="1"/>
  <c r="AK57" i="1"/>
  <c r="AJ57" i="1"/>
  <c r="AH57" i="1"/>
  <c r="AG57" i="1"/>
  <c r="AF57" i="1"/>
  <c r="AC57" i="1"/>
  <c r="AB57" i="1"/>
  <c r="Z57" i="1"/>
  <c r="J57" i="1"/>
  <c r="I57" i="1"/>
  <c r="BJ56" i="1"/>
  <c r="BI56" i="1"/>
  <c r="AE56" i="1" s="1"/>
  <c r="BF56" i="1"/>
  <c r="BD56" i="1"/>
  <c r="AP56" i="1"/>
  <c r="AO56" i="1"/>
  <c r="BH56" i="1" s="1"/>
  <c r="AD56" i="1" s="1"/>
  <c r="AL56" i="1"/>
  <c r="AK56" i="1"/>
  <c r="AT53" i="1" s="1"/>
  <c r="AH56" i="1"/>
  <c r="AG56" i="1"/>
  <c r="AF56" i="1"/>
  <c r="AC56" i="1"/>
  <c r="AB56" i="1"/>
  <c r="Z56" i="1"/>
  <c r="J56" i="1"/>
  <c r="AJ56" i="1" s="1"/>
  <c r="BJ54" i="1"/>
  <c r="BF54" i="1"/>
  <c r="BD54" i="1"/>
  <c r="AW54" i="1"/>
  <c r="AP54" i="1"/>
  <c r="BI54" i="1" s="1"/>
  <c r="AE54" i="1" s="1"/>
  <c r="AO54" i="1"/>
  <c r="BH54" i="1" s="1"/>
  <c r="AD54" i="1" s="1"/>
  <c r="AL54" i="1"/>
  <c r="AK54" i="1"/>
  <c r="AJ54" i="1"/>
  <c r="AS53" i="1" s="1"/>
  <c r="AH54" i="1"/>
  <c r="AG54" i="1"/>
  <c r="AF54" i="1"/>
  <c r="AC54" i="1"/>
  <c r="AB54" i="1"/>
  <c r="Z54" i="1"/>
  <c r="J54" i="1"/>
  <c r="H54" i="1"/>
  <c r="AU53" i="1"/>
  <c r="BJ52" i="1"/>
  <c r="BF52" i="1"/>
  <c r="BD52" i="1"/>
  <c r="AP52" i="1"/>
  <c r="AO52" i="1"/>
  <c r="BH52" i="1" s="1"/>
  <c r="AD52" i="1" s="1"/>
  <c r="AL52" i="1"/>
  <c r="AK52" i="1"/>
  <c r="AH52" i="1"/>
  <c r="AG52" i="1"/>
  <c r="AF52" i="1"/>
  <c r="AC52" i="1"/>
  <c r="AB52" i="1"/>
  <c r="Z52" i="1"/>
  <c r="J52" i="1"/>
  <c r="AJ52" i="1" s="1"/>
  <c r="BJ51" i="1"/>
  <c r="BF51" i="1"/>
  <c r="BD51" i="1"/>
  <c r="AW51" i="1"/>
  <c r="AP51" i="1"/>
  <c r="BI51" i="1" s="1"/>
  <c r="AE51" i="1" s="1"/>
  <c r="AO51" i="1"/>
  <c r="BH51" i="1" s="1"/>
  <c r="AD51" i="1" s="1"/>
  <c r="AL51" i="1"/>
  <c r="AK51" i="1"/>
  <c r="AJ51" i="1"/>
  <c r="AH51" i="1"/>
  <c r="AG51" i="1"/>
  <c r="AF51" i="1"/>
  <c r="AC51" i="1"/>
  <c r="AB51" i="1"/>
  <c r="Z51" i="1"/>
  <c r="J51" i="1"/>
  <c r="H51" i="1"/>
  <c r="BJ50" i="1"/>
  <c r="BF50" i="1"/>
  <c r="BD50" i="1"/>
  <c r="AX50" i="1"/>
  <c r="AW50" i="1"/>
  <c r="AP50" i="1"/>
  <c r="BI50" i="1" s="1"/>
  <c r="AE50" i="1" s="1"/>
  <c r="AO50" i="1"/>
  <c r="BH50" i="1" s="1"/>
  <c r="AD50" i="1" s="1"/>
  <c r="AL50" i="1"/>
  <c r="AK50" i="1"/>
  <c r="AH50" i="1"/>
  <c r="AG50" i="1"/>
  <c r="AF50" i="1"/>
  <c r="AC50" i="1"/>
  <c r="AB50" i="1"/>
  <c r="Z50" i="1"/>
  <c r="J50" i="1"/>
  <c r="AJ50" i="1" s="1"/>
  <c r="I50" i="1"/>
  <c r="H50" i="1"/>
  <c r="BJ49" i="1"/>
  <c r="BF49" i="1"/>
  <c r="BD49" i="1"/>
  <c r="AX49" i="1"/>
  <c r="AW49" i="1"/>
  <c r="AP49" i="1"/>
  <c r="BI49" i="1" s="1"/>
  <c r="AE49" i="1" s="1"/>
  <c r="AO49" i="1"/>
  <c r="H49" i="1" s="1"/>
  <c r="AL49" i="1"/>
  <c r="AK49" i="1"/>
  <c r="AH49" i="1"/>
  <c r="AG49" i="1"/>
  <c r="AF49" i="1"/>
  <c r="AC49" i="1"/>
  <c r="AB49" i="1"/>
  <c r="Z49" i="1"/>
  <c r="J49" i="1"/>
  <c r="AJ49" i="1" s="1"/>
  <c r="I49" i="1"/>
  <c r="BJ48" i="1"/>
  <c r="BF48" i="1"/>
  <c r="BD48" i="1"/>
  <c r="AX48" i="1"/>
  <c r="AP48" i="1"/>
  <c r="I48" i="1" s="1"/>
  <c r="AO48" i="1"/>
  <c r="AW48" i="1" s="1"/>
  <c r="AV48" i="1" s="1"/>
  <c r="AL48" i="1"/>
  <c r="AK48" i="1"/>
  <c r="AH48" i="1"/>
  <c r="AG48" i="1"/>
  <c r="AF48" i="1"/>
  <c r="AC48" i="1"/>
  <c r="AB48" i="1"/>
  <c r="Z48" i="1"/>
  <c r="J48" i="1"/>
  <c r="AJ48" i="1" s="1"/>
  <c r="BJ47" i="1"/>
  <c r="BF47" i="1"/>
  <c r="BD47" i="1"/>
  <c r="AW47" i="1"/>
  <c r="AP47" i="1"/>
  <c r="AO47" i="1"/>
  <c r="BH47" i="1" s="1"/>
  <c r="AD47" i="1" s="1"/>
  <c r="AL47" i="1"/>
  <c r="AK47" i="1"/>
  <c r="AT46" i="1" s="1"/>
  <c r="AJ47" i="1"/>
  <c r="AH47" i="1"/>
  <c r="AG47" i="1"/>
  <c r="AF47" i="1"/>
  <c r="AC47" i="1"/>
  <c r="AB47" i="1"/>
  <c r="Z47" i="1"/>
  <c r="J47" i="1"/>
  <c r="H47" i="1"/>
  <c r="AU46" i="1"/>
  <c r="BJ45" i="1"/>
  <c r="BH45" i="1"/>
  <c r="AD45" i="1" s="1"/>
  <c r="BF45" i="1"/>
  <c r="BD45" i="1"/>
  <c r="AX45" i="1"/>
  <c r="AP45" i="1"/>
  <c r="I45" i="1" s="1"/>
  <c r="AO45" i="1"/>
  <c r="AW45" i="1" s="1"/>
  <c r="AV45" i="1" s="1"/>
  <c r="AL45" i="1"/>
  <c r="AK45" i="1"/>
  <c r="AH45" i="1"/>
  <c r="AG45" i="1"/>
  <c r="AF45" i="1"/>
  <c r="AC45" i="1"/>
  <c r="AB45" i="1"/>
  <c r="Z45" i="1"/>
  <c r="J45" i="1"/>
  <c r="J44" i="1" s="1"/>
  <c r="L19" i="2" s="1"/>
  <c r="N19" i="2" s="1"/>
  <c r="AU44" i="1"/>
  <c r="AT44" i="1"/>
  <c r="I44" i="1"/>
  <c r="K19" i="2" s="1"/>
  <c r="BJ43" i="1"/>
  <c r="BI43" i="1"/>
  <c r="AG43" i="1" s="1"/>
  <c r="BF43" i="1"/>
  <c r="BD43" i="1"/>
  <c r="AW43" i="1"/>
  <c r="AP43" i="1"/>
  <c r="AX43" i="1" s="1"/>
  <c r="AO43" i="1"/>
  <c r="H43" i="1" s="1"/>
  <c r="AL43" i="1"/>
  <c r="AU41" i="1" s="1"/>
  <c r="AK43" i="1"/>
  <c r="AH43" i="1"/>
  <c r="AE43" i="1"/>
  <c r="AD43" i="1"/>
  <c r="AC43" i="1"/>
  <c r="AB43" i="1"/>
  <c r="Z43" i="1"/>
  <c r="J43" i="1"/>
  <c r="AJ43" i="1" s="1"/>
  <c r="I43" i="1"/>
  <c r="BJ42" i="1"/>
  <c r="BH42" i="1"/>
  <c r="BF42" i="1"/>
  <c r="BD42" i="1"/>
  <c r="BC42" i="1"/>
  <c r="AX42" i="1"/>
  <c r="AV42" i="1"/>
  <c r="AP42" i="1"/>
  <c r="I42" i="1" s="1"/>
  <c r="AO42" i="1"/>
  <c r="AW42" i="1" s="1"/>
  <c r="AL42" i="1"/>
  <c r="AK42" i="1"/>
  <c r="AH42" i="1"/>
  <c r="AG42" i="1"/>
  <c r="AF42" i="1"/>
  <c r="AD42" i="1"/>
  <c r="AC42" i="1"/>
  <c r="AB42" i="1"/>
  <c r="Z42" i="1"/>
  <c r="J42" i="1"/>
  <c r="H42" i="1"/>
  <c r="H41" i="1" s="1"/>
  <c r="J18" i="2" s="1"/>
  <c r="AT41" i="1"/>
  <c r="I41" i="1"/>
  <c r="K18" i="2" s="1"/>
  <c r="BJ40" i="1"/>
  <c r="BF40" i="1"/>
  <c r="BD40" i="1"/>
  <c r="AW40" i="1"/>
  <c r="AP40" i="1"/>
  <c r="BI40" i="1" s="1"/>
  <c r="AE40" i="1" s="1"/>
  <c r="AO40" i="1"/>
  <c r="H40" i="1" s="1"/>
  <c r="AL40" i="1"/>
  <c r="AU37" i="1" s="1"/>
  <c r="AK40" i="1"/>
  <c r="AH40" i="1"/>
  <c r="AG40" i="1"/>
  <c r="AF40" i="1"/>
  <c r="AC40" i="1"/>
  <c r="AB40" i="1"/>
  <c r="Z40" i="1"/>
  <c r="J40" i="1"/>
  <c r="AJ40" i="1" s="1"/>
  <c r="BJ38" i="1"/>
  <c r="BH38" i="1"/>
  <c r="AD38" i="1" s="1"/>
  <c r="BF38" i="1"/>
  <c r="BD38" i="1"/>
  <c r="BC38" i="1"/>
  <c r="AX38" i="1"/>
  <c r="AP38" i="1"/>
  <c r="I38" i="1" s="1"/>
  <c r="AO38" i="1"/>
  <c r="AW38" i="1" s="1"/>
  <c r="AV38" i="1" s="1"/>
  <c r="AL38" i="1"/>
  <c r="AK38" i="1"/>
  <c r="AJ38" i="1"/>
  <c r="AS37" i="1" s="1"/>
  <c r="AH38" i="1"/>
  <c r="AG38" i="1"/>
  <c r="AF38" i="1"/>
  <c r="AC38" i="1"/>
  <c r="AB38" i="1"/>
  <c r="Z38" i="1"/>
  <c r="J38" i="1"/>
  <c r="J37" i="1" s="1"/>
  <c r="L17" i="2" s="1"/>
  <c r="N17" i="2" s="1"/>
  <c r="H38" i="1"/>
  <c r="H37" i="1" s="1"/>
  <c r="J17" i="2" s="1"/>
  <c r="AT37" i="1"/>
  <c r="BJ35" i="1"/>
  <c r="BI35" i="1"/>
  <c r="AE35" i="1" s="1"/>
  <c r="BF35" i="1"/>
  <c r="BD35" i="1"/>
  <c r="AX35" i="1"/>
  <c r="AW35" i="1"/>
  <c r="AP35" i="1"/>
  <c r="AO35" i="1"/>
  <c r="H35" i="1" s="1"/>
  <c r="H34" i="1" s="1"/>
  <c r="J16" i="2" s="1"/>
  <c r="AL35" i="1"/>
  <c r="AK35" i="1"/>
  <c r="AH35" i="1"/>
  <c r="AG35" i="1"/>
  <c r="AF35" i="1"/>
  <c r="AC35" i="1"/>
  <c r="AB35" i="1"/>
  <c r="Z35" i="1"/>
  <c r="J35" i="1"/>
  <c r="I35" i="1"/>
  <c r="I34" i="1" s="1"/>
  <c r="K16" i="2" s="1"/>
  <c r="AU34" i="1"/>
  <c r="AT34" i="1"/>
  <c r="BJ32" i="1"/>
  <c r="BF32" i="1"/>
  <c r="BD32" i="1"/>
  <c r="AX32" i="1"/>
  <c r="AW32" i="1"/>
  <c r="BC32" i="1" s="1"/>
  <c r="AP32" i="1"/>
  <c r="BI32" i="1" s="1"/>
  <c r="AC32" i="1" s="1"/>
  <c r="AO32" i="1"/>
  <c r="BH32" i="1" s="1"/>
  <c r="AB32" i="1" s="1"/>
  <c r="AL32" i="1"/>
  <c r="AK32" i="1"/>
  <c r="AT29" i="1" s="1"/>
  <c r="AH32" i="1"/>
  <c r="AG32" i="1"/>
  <c r="AF32" i="1"/>
  <c r="AE32" i="1"/>
  <c r="AD32" i="1"/>
  <c r="Z32" i="1"/>
  <c r="J32" i="1"/>
  <c r="AJ32" i="1" s="1"/>
  <c r="I32" i="1"/>
  <c r="H32" i="1"/>
  <c r="BJ30" i="1"/>
  <c r="BF30" i="1"/>
  <c r="BD30" i="1"/>
  <c r="AW30" i="1"/>
  <c r="AP30" i="1"/>
  <c r="BI30" i="1" s="1"/>
  <c r="AC30" i="1" s="1"/>
  <c r="AO30" i="1"/>
  <c r="H30" i="1" s="1"/>
  <c r="H29" i="1" s="1"/>
  <c r="J15" i="2" s="1"/>
  <c r="AL30" i="1"/>
  <c r="AU29" i="1" s="1"/>
  <c r="AK30" i="1"/>
  <c r="AH30" i="1"/>
  <c r="AG30" i="1"/>
  <c r="AF30" i="1"/>
  <c r="AE30" i="1"/>
  <c r="AD30" i="1"/>
  <c r="Z30" i="1"/>
  <c r="J30" i="1"/>
  <c r="BJ27" i="1"/>
  <c r="BH27" i="1"/>
  <c r="AB27" i="1" s="1"/>
  <c r="BF27" i="1"/>
  <c r="BD27" i="1"/>
  <c r="AX27" i="1"/>
  <c r="AP27" i="1"/>
  <c r="BI27" i="1" s="1"/>
  <c r="AC27" i="1" s="1"/>
  <c r="AO27" i="1"/>
  <c r="H27" i="1" s="1"/>
  <c r="H26" i="1" s="1"/>
  <c r="J14" i="2" s="1"/>
  <c r="AL27" i="1"/>
  <c r="AU26" i="1" s="1"/>
  <c r="AK27" i="1"/>
  <c r="AH27" i="1"/>
  <c r="AG27" i="1"/>
  <c r="AF27" i="1"/>
  <c r="AE27" i="1"/>
  <c r="AD27" i="1"/>
  <c r="Z27" i="1"/>
  <c r="J27" i="1"/>
  <c r="AJ27" i="1" s="1"/>
  <c r="AS26" i="1" s="1"/>
  <c r="I27" i="1"/>
  <c r="I26" i="1" s="1"/>
  <c r="K14" i="2" s="1"/>
  <c r="AT26" i="1"/>
  <c r="J26" i="1"/>
  <c r="L14" i="2" s="1"/>
  <c r="N14" i="2" s="1"/>
  <c r="BJ25" i="1"/>
  <c r="BI25" i="1"/>
  <c r="BF25" i="1"/>
  <c r="BD25" i="1"/>
  <c r="AW25" i="1"/>
  <c r="AP25" i="1"/>
  <c r="AO25" i="1"/>
  <c r="BH25" i="1" s="1"/>
  <c r="AB25" i="1" s="1"/>
  <c r="AL25" i="1"/>
  <c r="AK25" i="1"/>
  <c r="AJ25" i="1"/>
  <c r="AH25" i="1"/>
  <c r="AG25" i="1"/>
  <c r="AF25" i="1"/>
  <c r="AE25" i="1"/>
  <c r="AD25" i="1"/>
  <c r="AC25" i="1"/>
  <c r="Z25" i="1"/>
  <c r="J25" i="1"/>
  <c r="H25" i="1"/>
  <c r="BJ23" i="1"/>
  <c r="BH23" i="1"/>
  <c r="AB23" i="1" s="1"/>
  <c r="BF23" i="1"/>
  <c r="BD23" i="1"/>
  <c r="AX23" i="1"/>
  <c r="AW23" i="1"/>
  <c r="BC23" i="1" s="1"/>
  <c r="AP23" i="1"/>
  <c r="BI23" i="1" s="1"/>
  <c r="AC23" i="1" s="1"/>
  <c r="AO23" i="1"/>
  <c r="AL23" i="1"/>
  <c r="AK23" i="1"/>
  <c r="AH23" i="1"/>
  <c r="AG23" i="1"/>
  <c r="AF23" i="1"/>
  <c r="AE23" i="1"/>
  <c r="AD23" i="1"/>
  <c r="Z23" i="1"/>
  <c r="J23" i="1"/>
  <c r="AJ23" i="1" s="1"/>
  <c r="I23" i="1"/>
  <c r="H23" i="1"/>
  <c r="BJ22" i="1"/>
  <c r="BF22" i="1"/>
  <c r="BD22" i="1"/>
  <c r="AW22" i="1"/>
  <c r="AP22" i="1"/>
  <c r="BI22" i="1" s="1"/>
  <c r="AC22" i="1" s="1"/>
  <c r="AO22" i="1"/>
  <c r="H22" i="1" s="1"/>
  <c r="AL22" i="1"/>
  <c r="AK22" i="1"/>
  <c r="AH22" i="1"/>
  <c r="AG22" i="1"/>
  <c r="AF22" i="1"/>
  <c r="AE22" i="1"/>
  <c r="AD22" i="1"/>
  <c r="Z22" i="1"/>
  <c r="J22" i="1"/>
  <c r="AJ22" i="1" s="1"/>
  <c r="I22" i="1"/>
  <c r="BJ21" i="1"/>
  <c r="BH21" i="1"/>
  <c r="BF21" i="1"/>
  <c r="BD21" i="1"/>
  <c r="BC21" i="1"/>
  <c r="AX21" i="1"/>
  <c r="AV21" i="1"/>
  <c r="AP21" i="1"/>
  <c r="I21" i="1" s="1"/>
  <c r="AO21" i="1"/>
  <c r="AW21" i="1" s="1"/>
  <c r="AL21" i="1"/>
  <c r="AK21" i="1"/>
  <c r="AT20" i="1" s="1"/>
  <c r="AJ21" i="1"/>
  <c r="AH21" i="1"/>
  <c r="AG21" i="1"/>
  <c r="AF21" i="1"/>
  <c r="AE21" i="1"/>
  <c r="AD21" i="1"/>
  <c r="AB21" i="1"/>
  <c r="Z21" i="1"/>
  <c r="J21" i="1"/>
  <c r="J20" i="1" s="1"/>
  <c r="L13" i="2" s="1"/>
  <c r="N13" i="2" s="1"/>
  <c r="H21" i="1"/>
  <c r="H20" i="1" s="1"/>
  <c r="J13" i="2" s="1"/>
  <c r="BJ18" i="1"/>
  <c r="BI18" i="1"/>
  <c r="BF18" i="1"/>
  <c r="BD18" i="1"/>
  <c r="AX18" i="1"/>
  <c r="AW18" i="1"/>
  <c r="AV18" i="1" s="1"/>
  <c r="AP18" i="1"/>
  <c r="I18" i="1" s="1"/>
  <c r="AO18" i="1"/>
  <c r="H18" i="1" s="1"/>
  <c r="AL18" i="1"/>
  <c r="AK18" i="1"/>
  <c r="AH18" i="1"/>
  <c r="AG18" i="1"/>
  <c r="AF18" i="1"/>
  <c r="AE18" i="1"/>
  <c r="AD18" i="1"/>
  <c r="AC18" i="1"/>
  <c r="Z18" i="1"/>
  <c r="J18" i="1"/>
  <c r="AJ18" i="1" s="1"/>
  <c r="AS12" i="1" s="1"/>
  <c r="BJ16" i="1"/>
  <c r="BH16" i="1"/>
  <c r="BF16" i="1"/>
  <c r="BD16" i="1"/>
  <c r="AX16" i="1"/>
  <c r="BC16" i="1" s="1"/>
  <c r="AP16" i="1"/>
  <c r="I16" i="1" s="1"/>
  <c r="AO16" i="1"/>
  <c r="AW16" i="1" s="1"/>
  <c r="AL16" i="1"/>
  <c r="AK16" i="1"/>
  <c r="AJ16" i="1"/>
  <c r="AH16" i="1"/>
  <c r="AG16" i="1"/>
  <c r="AF16" i="1"/>
  <c r="AE16" i="1"/>
  <c r="AD16" i="1"/>
  <c r="AB16" i="1"/>
  <c r="Z16" i="1"/>
  <c r="J16" i="1"/>
  <c r="J12" i="1" s="1"/>
  <c r="H16" i="1"/>
  <c r="BJ14" i="1"/>
  <c r="BF14" i="1"/>
  <c r="BD14" i="1"/>
  <c r="AW14" i="1"/>
  <c r="AV14" i="1"/>
  <c r="AP14" i="1"/>
  <c r="AX14" i="1" s="1"/>
  <c r="BC14" i="1" s="1"/>
  <c r="AO14" i="1"/>
  <c r="BH14" i="1" s="1"/>
  <c r="AB14" i="1" s="1"/>
  <c r="AL14" i="1"/>
  <c r="AK14" i="1"/>
  <c r="AJ14" i="1"/>
  <c r="AH14" i="1"/>
  <c r="AG14" i="1"/>
  <c r="AF14" i="1"/>
  <c r="AE14" i="1"/>
  <c r="AD14" i="1"/>
  <c r="Z14" i="1"/>
  <c r="J14" i="1"/>
  <c r="H14" i="1"/>
  <c r="BJ13" i="1"/>
  <c r="BH13" i="1"/>
  <c r="BF13" i="1"/>
  <c r="BD13" i="1"/>
  <c r="AX13" i="1"/>
  <c r="AP13" i="1"/>
  <c r="BI13" i="1" s="1"/>
  <c r="AC13" i="1" s="1"/>
  <c r="AO13" i="1"/>
  <c r="AW13" i="1" s="1"/>
  <c r="AL13" i="1"/>
  <c r="AK13" i="1"/>
  <c r="AT12" i="1" s="1"/>
  <c r="AH13" i="1"/>
  <c r="AG13" i="1"/>
  <c r="AF13" i="1"/>
  <c r="AE13" i="1"/>
  <c r="AD13" i="1"/>
  <c r="AB13" i="1"/>
  <c r="Z13" i="1"/>
  <c r="J13" i="1"/>
  <c r="AJ13" i="1" s="1"/>
  <c r="I13" i="1"/>
  <c r="AU1" i="1"/>
  <c r="AT1" i="1"/>
  <c r="AS1" i="1"/>
  <c r="BC13" i="1" l="1"/>
  <c r="AV13" i="1"/>
  <c r="J90" i="1"/>
  <c r="L12" i="2"/>
  <c r="N12" i="2" s="1"/>
  <c r="L31" i="2" s="1"/>
  <c r="BC22" i="1"/>
  <c r="I14" i="1"/>
  <c r="AX22" i="1"/>
  <c r="AX25" i="1"/>
  <c r="I25" i="1"/>
  <c r="I20" i="1" s="1"/>
  <c r="K13" i="2" s="1"/>
  <c r="AX30" i="1"/>
  <c r="BC30" i="1" s="1"/>
  <c r="J41" i="1"/>
  <c r="L18" i="2" s="1"/>
  <c r="N18" i="2" s="1"/>
  <c r="AJ42" i="1"/>
  <c r="AS41" i="1" s="1"/>
  <c r="J46" i="1"/>
  <c r="L20" i="2" s="1"/>
  <c r="N20" i="2" s="1"/>
  <c r="AX52" i="1"/>
  <c r="I52" i="1"/>
  <c r="AW60" i="1"/>
  <c r="H60" i="1"/>
  <c r="AW68" i="1"/>
  <c r="H68" i="1"/>
  <c r="AW75" i="1"/>
  <c r="H75" i="1"/>
  <c r="H74" i="1" s="1"/>
  <c r="J26" i="2" s="1"/>
  <c r="H13" i="1"/>
  <c r="H12" i="1" s="1"/>
  <c r="J12" i="2" s="1"/>
  <c r="AW27" i="1"/>
  <c r="I40" i="1"/>
  <c r="I37" i="1" s="1"/>
  <c r="K17" i="2" s="1"/>
  <c r="AV43" i="1"/>
  <c r="BC43" i="1"/>
  <c r="BC69" i="1"/>
  <c r="AV69" i="1"/>
  <c r="AX88" i="1"/>
  <c r="I88" i="1"/>
  <c r="AV22" i="1"/>
  <c r="J34" i="1"/>
  <c r="L16" i="2" s="1"/>
  <c r="N16" i="2" s="1"/>
  <c r="AJ35" i="1"/>
  <c r="AS34" i="1" s="1"/>
  <c r="AX40" i="1"/>
  <c r="AX59" i="1"/>
  <c r="I59" i="1"/>
  <c r="I58" i="1" s="1"/>
  <c r="K22" i="2" s="1"/>
  <c r="I12" i="1"/>
  <c r="K12" i="2" s="1"/>
  <c r="I30" i="1"/>
  <c r="I29" i="1" s="1"/>
  <c r="K15" i="2" s="1"/>
  <c r="BC45" i="1"/>
  <c r="BI59" i="1"/>
  <c r="AE59" i="1" s="1"/>
  <c r="AX77" i="1"/>
  <c r="I77" i="1"/>
  <c r="I76" i="1" s="1"/>
  <c r="K27" i="2" s="1"/>
  <c r="AW78" i="1"/>
  <c r="H78" i="1"/>
  <c r="AS84" i="1"/>
  <c r="C29" i="4"/>
  <c r="F29" i="4" s="1"/>
  <c r="AU12" i="1"/>
  <c r="AX47" i="1"/>
  <c r="BC47" i="1" s="1"/>
  <c r="I47" i="1"/>
  <c r="I46" i="1" s="1"/>
  <c r="K20" i="2" s="1"/>
  <c r="AX66" i="1"/>
  <c r="I66" i="1"/>
  <c r="I65" i="1" s="1"/>
  <c r="K24" i="2" s="1"/>
  <c r="C19" i="4"/>
  <c r="C20" i="4"/>
  <c r="BC18" i="1"/>
  <c r="J29" i="1"/>
  <c r="L15" i="2" s="1"/>
  <c r="N15" i="2" s="1"/>
  <c r="AJ30" i="1"/>
  <c r="AS29" i="1" s="1"/>
  <c r="AV32" i="1"/>
  <c r="AV35" i="1"/>
  <c r="BC35" i="1"/>
  <c r="H45" i="1"/>
  <c r="H44" i="1" s="1"/>
  <c r="J19" i="2" s="1"/>
  <c r="AS46" i="1"/>
  <c r="BI52" i="1"/>
  <c r="AE52" i="1" s="1"/>
  <c r="AX56" i="1"/>
  <c r="I56" i="1"/>
  <c r="AX62" i="1"/>
  <c r="I62" i="1"/>
  <c r="I61" i="1" s="1"/>
  <c r="K23" i="2" s="1"/>
  <c r="AU70" i="1"/>
  <c r="AW89" i="1"/>
  <c r="H89" i="1"/>
  <c r="AS20" i="1"/>
  <c r="C21" i="4"/>
  <c r="C28" i="4"/>
  <c r="F28" i="4" s="1"/>
  <c r="BI14" i="1"/>
  <c r="AC14" i="1" s="1"/>
  <c r="C15" i="4" s="1"/>
  <c r="AV16" i="1"/>
  <c r="AU20" i="1"/>
  <c r="AV23" i="1"/>
  <c r="AJ45" i="1"/>
  <c r="AS44" i="1" s="1"/>
  <c r="BI47" i="1"/>
  <c r="AE47" i="1" s="1"/>
  <c r="BC48" i="1"/>
  <c r="AV49" i="1"/>
  <c r="AW57" i="1"/>
  <c r="H57" i="1"/>
  <c r="AW63" i="1"/>
  <c r="H63" i="1"/>
  <c r="AW71" i="1"/>
  <c r="H71" i="1"/>
  <c r="H70" i="1" s="1"/>
  <c r="J25" i="2" s="1"/>
  <c r="BC72" i="1"/>
  <c r="AV72" i="1"/>
  <c r="AX80" i="1"/>
  <c r="I80" i="1"/>
  <c r="I79" i="1" s="1"/>
  <c r="K28" i="2" s="1"/>
  <c r="AV40" i="1"/>
  <c r="BC40" i="1"/>
  <c r="AV50" i="1"/>
  <c r="BC50" i="1"/>
  <c r="AV85" i="1"/>
  <c r="BC85" i="1"/>
  <c r="BC49" i="1"/>
  <c r="I51" i="1"/>
  <c r="H52" i="1"/>
  <c r="I54" i="1"/>
  <c r="I53" i="1" s="1"/>
  <c r="K21" i="2" s="1"/>
  <c r="H56" i="1"/>
  <c r="H53" i="1" s="1"/>
  <c r="J21" i="2" s="1"/>
  <c r="BI57" i="1"/>
  <c r="AE57" i="1" s="1"/>
  <c r="H59" i="1"/>
  <c r="BI60" i="1"/>
  <c r="AE60" i="1" s="1"/>
  <c r="H62" i="1"/>
  <c r="H61" i="1" s="1"/>
  <c r="J23" i="2" s="1"/>
  <c r="BI63" i="1"/>
  <c r="AE63" i="1" s="1"/>
  <c r="H66" i="1"/>
  <c r="H65" i="1" s="1"/>
  <c r="J24" i="2" s="1"/>
  <c r="BI68" i="1"/>
  <c r="AE68" i="1" s="1"/>
  <c r="BH69" i="1"/>
  <c r="AD69" i="1" s="1"/>
  <c r="BI71" i="1"/>
  <c r="AE71" i="1" s="1"/>
  <c r="BH72" i="1"/>
  <c r="AD72" i="1" s="1"/>
  <c r="BI75" i="1"/>
  <c r="AC75" i="1" s="1"/>
  <c r="H77" i="1"/>
  <c r="H76" i="1" s="1"/>
  <c r="J27" i="2" s="1"/>
  <c r="BI78" i="1"/>
  <c r="AC78" i="1" s="1"/>
  <c r="H80" i="1"/>
  <c r="H79" i="1" s="1"/>
  <c r="J28" i="2" s="1"/>
  <c r="I82" i="1"/>
  <c r="I81" i="1" s="1"/>
  <c r="K29" i="2" s="1"/>
  <c r="I86" i="1"/>
  <c r="I84" i="1" s="1"/>
  <c r="K30" i="2" s="1"/>
  <c r="H88" i="1"/>
  <c r="H84" i="1" s="1"/>
  <c r="J30" i="2" s="1"/>
  <c r="BI89" i="1"/>
  <c r="AX51" i="1"/>
  <c r="AW52" i="1"/>
  <c r="AX54" i="1"/>
  <c r="AW56" i="1"/>
  <c r="AW59" i="1"/>
  <c r="AW62" i="1"/>
  <c r="AW66" i="1"/>
  <c r="AW77" i="1"/>
  <c r="AW80" i="1"/>
  <c r="AX82" i="1"/>
  <c r="AX86" i="1"/>
  <c r="AW88" i="1"/>
  <c r="BH48" i="1"/>
  <c r="AD48" i="1" s="1"/>
  <c r="BI16" i="1"/>
  <c r="AC16" i="1" s="1"/>
  <c r="BH18" i="1"/>
  <c r="AB18" i="1" s="1"/>
  <c r="C14" i="4" s="1"/>
  <c r="BI21" i="1"/>
  <c r="AC21" i="1" s="1"/>
  <c r="BH22" i="1"/>
  <c r="AB22" i="1" s="1"/>
  <c r="BH30" i="1"/>
  <c r="AB30" i="1" s="1"/>
  <c r="BH35" i="1"/>
  <c r="AD35" i="1" s="1"/>
  <c r="C16" i="4" s="1"/>
  <c r="BI38" i="1"/>
  <c r="AE38" i="1" s="1"/>
  <c r="C17" i="4" s="1"/>
  <c r="BH40" i="1"/>
  <c r="AD40" i="1" s="1"/>
  <c r="BI42" i="1"/>
  <c r="AE42" i="1" s="1"/>
  <c r="BH43" i="1"/>
  <c r="AF43" i="1" s="1"/>
  <c r="C18" i="4" s="1"/>
  <c r="BI45" i="1"/>
  <c r="AE45" i="1" s="1"/>
  <c r="BI48" i="1"/>
  <c r="AE48" i="1" s="1"/>
  <c r="BH49" i="1"/>
  <c r="AD49" i="1" s="1"/>
  <c r="J53" i="1"/>
  <c r="L21" i="2" s="1"/>
  <c r="N21" i="2" s="1"/>
  <c r="AJ59" i="1"/>
  <c r="AS58" i="1" s="1"/>
  <c r="AJ62" i="1"/>
  <c r="AS61" i="1" s="1"/>
  <c r="AJ66" i="1"/>
  <c r="AS65" i="1" s="1"/>
  <c r="AJ77" i="1"/>
  <c r="AS76" i="1" s="1"/>
  <c r="AJ80" i="1"/>
  <c r="AS79" i="1" s="1"/>
  <c r="H48" i="1"/>
  <c r="H46" i="1" s="1"/>
  <c r="J20" i="2" s="1"/>
  <c r="C22" i="4" l="1"/>
  <c r="H21" i="5" s="1"/>
  <c r="I21" i="5" s="1"/>
  <c r="BC66" i="1"/>
  <c r="AV66" i="1"/>
  <c r="BC80" i="1"/>
  <c r="AV80" i="1"/>
  <c r="BC51" i="1"/>
  <c r="AV51" i="1"/>
  <c r="BC89" i="1"/>
  <c r="AV89" i="1"/>
  <c r="BC57" i="1"/>
  <c r="AV57" i="1"/>
  <c r="BC77" i="1"/>
  <c r="AV77" i="1"/>
  <c r="H58" i="1"/>
  <c r="J22" i="2" s="1"/>
  <c r="BC63" i="1"/>
  <c r="AV63" i="1"/>
  <c r="BC27" i="1"/>
  <c r="AV27" i="1"/>
  <c r="BC68" i="1"/>
  <c r="AV68" i="1"/>
  <c r="BC59" i="1"/>
  <c r="AV59" i="1"/>
  <c r="AV30" i="1"/>
  <c r="BC25" i="1"/>
  <c r="AV25" i="1"/>
  <c r="BC78" i="1"/>
  <c r="AV78" i="1"/>
  <c r="BC88" i="1"/>
  <c r="AV88" i="1"/>
  <c r="BC56" i="1"/>
  <c r="AV56" i="1"/>
  <c r="BC62" i="1"/>
  <c r="AV62" i="1"/>
  <c r="BC60" i="1"/>
  <c r="AV60" i="1"/>
  <c r="BC86" i="1"/>
  <c r="AV86" i="1"/>
  <c r="BC54" i="1"/>
  <c r="AV54" i="1"/>
  <c r="AV47" i="1"/>
  <c r="BC82" i="1"/>
  <c r="AV82" i="1"/>
  <c r="BC52" i="1"/>
  <c r="AV52" i="1"/>
  <c r="BC71" i="1"/>
  <c r="AV71" i="1"/>
  <c r="BC75" i="1"/>
  <c r="AV75" i="1"/>
  <c r="I27" i="5" l="1"/>
  <c r="F29" i="5" s="1"/>
  <c r="I14" i="4"/>
  <c r="I22" i="4" s="1"/>
  <c r="C27" i="4" s="1"/>
  <c r="I28" i="4" s="1"/>
  <c r="I29" i="4" s="1"/>
</calcChain>
</file>

<file path=xl/sharedStrings.xml><?xml version="1.0" encoding="utf-8"?>
<sst xmlns="http://schemas.openxmlformats.org/spreadsheetml/2006/main" count="1608" uniqueCount="376">
  <si>
    <t>Slepý stavební rozpočet</t>
  </si>
  <si>
    <t>Název stavby:</t>
  </si>
  <si>
    <t>KOLÍN, HUSOVA 112, ÚPRAVY BYT. JEDNOTKY Ć. 9</t>
  </si>
  <si>
    <t>Doba výstavby:</t>
  </si>
  <si>
    <t xml:space="preserve"> </t>
  </si>
  <si>
    <t>Objednatel:</t>
  </si>
  <si>
    <t>Město Kolín, Karlovo náměstí  78</t>
  </si>
  <si>
    <t>Druh stavby:</t>
  </si>
  <si>
    <t>Opravy a stavební úpravy byt. jednotky č.9</t>
  </si>
  <si>
    <t>Začátek výstavby:</t>
  </si>
  <si>
    <t>16.04.2025</t>
  </si>
  <si>
    <t>Projektant:</t>
  </si>
  <si>
    <t>Ing. M. Outlý, O-pro servis Kolín</t>
  </si>
  <si>
    <t>Lokalita:</t>
  </si>
  <si>
    <t>Kolín, Husova 112</t>
  </si>
  <si>
    <t>Konec výstavby:</t>
  </si>
  <si>
    <t>Zhotovitel:</t>
  </si>
  <si>
    <t> </t>
  </si>
  <si>
    <t>JKSO:</t>
  </si>
  <si>
    <t>803</t>
  </si>
  <si>
    <t>Zpracováno dne:</t>
  </si>
  <si>
    <t>Zpracoval: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</si>
  <si>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</si>
  <si>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</si>
  <si>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</si>
  <si>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</si>
  <si>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</si>
  <si>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</si>
  <si>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</si>
  <si>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</si>
  <si>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</si>
  <si>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</si>
  <si>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</si>
  <si>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</si>
  <si>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</si>
  <si>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</si>
  <si>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</si>
  <si>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</si>
  <si>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</si>
  <si>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</si>
  <si>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</si>
  <si>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</si>
  <si>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</si>
  <si>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</si>
  <si>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</si>
  <si>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</si>
  <si>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</si>
  <si>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</si>
  <si>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</si>
  <si>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</si>
  <si>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</si>
  <si>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</si>
  <si>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34</t>
  </si>
  <si>
    <t>Stěny a příčky</t>
  </si>
  <si>
    <t>1</t>
  </si>
  <si>
    <t>342012223R00</t>
  </si>
  <si>
    <t>Příčka sádrokartonová tl. 100 mm, 1x ocelová konstrukce CW 75, izolace, 1x opláštěná, RBI tl.12,5 mm</t>
  </si>
  <si>
    <t>m2</t>
  </si>
  <si>
    <t>RTS I / 2025</t>
  </si>
  <si>
    <t>34_</t>
  </si>
  <si>
    <t>3_</t>
  </si>
  <si>
    <t>_</t>
  </si>
  <si>
    <t>2</t>
  </si>
  <si>
    <t>342261113RS3</t>
  </si>
  <si>
    <t>Příčka sádrokartonová tl. 125 mm, 1x ocel.konstrukce CW 100, izolace, 1x opláštěná, desky tl.12,5 mm</t>
  </si>
  <si>
    <t>Varianta:</t>
  </si>
  <si>
    <t>včetně dodávky desky Knauf GREEN GKBI tl. 12,5 mm, minerál izolace tl. 80 m</t>
  </si>
  <si>
    <t>3</t>
  </si>
  <si>
    <t>342266111RT3</t>
  </si>
  <si>
    <t>Předstěna sádrokartonová (obklad), 1x ocelová konstrukce, izolace, 1x opláštěná, desky tl. 12,5 mm</t>
  </si>
  <si>
    <t>včetně dodávky desky Knauf GREEN GKBI tl. 12,5 mm</t>
  </si>
  <si>
    <t>4</t>
  </si>
  <si>
    <t>342255024RT1</t>
  </si>
  <si>
    <t>Příčky z desek Ytong tl. 100 mm</t>
  </si>
  <si>
    <t>desky Klasik, 599 x 249 x 100 mm</t>
  </si>
  <si>
    <t>61</t>
  </si>
  <si>
    <t>Úprava povrchů vnitřní</t>
  </si>
  <si>
    <t>5</t>
  </si>
  <si>
    <t>611421331R00</t>
  </si>
  <si>
    <t>Oprava váp.omítek stropů do 30% plochy - štukových</t>
  </si>
  <si>
    <t>61_</t>
  </si>
  <si>
    <t>6_</t>
  </si>
  <si>
    <t>6</t>
  </si>
  <si>
    <t>612474410R00</t>
  </si>
  <si>
    <t>Omítka stěn vnitřní tenkovrstvá vápenná - štuk</t>
  </si>
  <si>
    <t>7</t>
  </si>
  <si>
    <t>612481211RU1</t>
  </si>
  <si>
    <t>Montáž výztužné sítě (perlinky) do stěrky - vnitřní stěny</t>
  </si>
  <si>
    <t>včetně výztužné sítě a stěrkového tmelu weber</t>
  </si>
  <si>
    <t>8</t>
  </si>
  <si>
    <t>612421231R00</t>
  </si>
  <si>
    <t>Oprava vápen.omítek stěn do 10 % pl. - štukových</t>
  </si>
  <si>
    <t>63</t>
  </si>
  <si>
    <t>Podlahy a podlahové konstrukce</t>
  </si>
  <si>
    <t>9</t>
  </si>
  <si>
    <t>632411105RT2</t>
  </si>
  <si>
    <t>Samonivelační stěrka, ruční zpracování tl. 5 mm</t>
  </si>
  <si>
    <t>63_</t>
  </si>
  <si>
    <t>samonivelační polymercementová stěrka  30 MPa</t>
  </si>
  <si>
    <t>64</t>
  </si>
  <si>
    <t>Výplně otvorů</t>
  </si>
  <si>
    <t>10</t>
  </si>
  <si>
    <t>642941211RT3</t>
  </si>
  <si>
    <t>Pouzdro pro posuvné dveře jednostranné, do SDK</t>
  </si>
  <si>
    <t>kus</t>
  </si>
  <si>
    <t>64_</t>
  </si>
  <si>
    <t>jednostranné pouzdro 800/1970 mm</t>
  </si>
  <si>
    <t>11</t>
  </si>
  <si>
    <t>642201011RA0</t>
  </si>
  <si>
    <t>Výměna dveří 1kř, zárubeň ocelová obložková, oprava ostění, práh</t>
  </si>
  <si>
    <t>Bez dodávky dveří. V položce není kalkulován poplatek za skládku pro vybouranou suť. Tyto náklady se oceňují individuálně podle místních podmínek. Orientační hmotnost vybouraných konstrukcí je 0,143 t/kus konstrukce</t>
  </si>
  <si>
    <t>721</t>
  </si>
  <si>
    <t>ZTI Zdravotně technické instalace</t>
  </si>
  <si>
    <t>12</t>
  </si>
  <si>
    <t>721,722.725VD</t>
  </si>
  <si>
    <t>Vnitřní kanalizace, vodovod, zařizovací předměty</t>
  </si>
  <si>
    <t>Celek</t>
  </si>
  <si>
    <t>721_</t>
  </si>
  <si>
    <t>72_</t>
  </si>
  <si>
    <t xml:space="preserve"> Kanalizace, vodovod, zařizovací předměty, armatury, montáže, demontáže, pomocné  práce</t>
  </si>
  <si>
    <t>725</t>
  </si>
  <si>
    <t>Zařizovací předměty</t>
  </si>
  <si>
    <t>13</t>
  </si>
  <si>
    <t>7256191H1</t>
  </si>
  <si>
    <t>Montáž a dodávka sporáku,</t>
  </si>
  <si>
    <t>725_</t>
  </si>
  <si>
    <t>Trouba+ varná deska</t>
  </si>
  <si>
    <t>14</t>
  </si>
  <si>
    <t>61581621.A</t>
  </si>
  <si>
    <t>Linka kuchyňská atypická 140 cm</t>
  </si>
  <si>
    <t>soubor</t>
  </si>
  <si>
    <t>728</t>
  </si>
  <si>
    <t>Vzduchotechnika</t>
  </si>
  <si>
    <t>15</t>
  </si>
  <si>
    <t>7284146H1</t>
  </si>
  <si>
    <t>Dodávka a montáž digestoře vestavěné</t>
  </si>
  <si>
    <t>728_</t>
  </si>
  <si>
    <t>16</t>
  </si>
  <si>
    <t>24001VD</t>
  </si>
  <si>
    <t>Vzduchovody, příslušenství, ventilátor</t>
  </si>
  <si>
    <t>735</t>
  </si>
  <si>
    <t>ÚT</t>
  </si>
  <si>
    <t>17</t>
  </si>
  <si>
    <t>7350000H1VD</t>
  </si>
  <si>
    <t>Demontáž a zpětná montáž otopných těles + nátětr</t>
  </si>
  <si>
    <t>735_</t>
  </si>
  <si>
    <t>73_</t>
  </si>
  <si>
    <t>766</t>
  </si>
  <si>
    <t>Konstrukce truhlářské</t>
  </si>
  <si>
    <t>18</t>
  </si>
  <si>
    <t>766661512R00</t>
  </si>
  <si>
    <t>Montáž dveří s polodrážkou, MD,1kř. do 80 cm</t>
  </si>
  <si>
    <t>766_</t>
  </si>
  <si>
    <t>76_</t>
  </si>
  <si>
    <t>19</t>
  </si>
  <si>
    <t>766661522R00</t>
  </si>
  <si>
    <t>Montáž dveří s polodrážkou, MD,1kř. nad 80 cm</t>
  </si>
  <si>
    <t>20</t>
  </si>
  <si>
    <t>611621H2</t>
  </si>
  <si>
    <t>Dveře dřevěné interiérové 800 x 1970 mm L/P, fólie, plné ozn.04</t>
  </si>
  <si>
    <t>21</t>
  </si>
  <si>
    <t>611621H3</t>
  </si>
  <si>
    <t>Dveře dřevěné interiérové DOORNITE hladké 800 x 1970 mm L/P, fólie, 2/3 sklo ozn.02</t>
  </si>
  <si>
    <t>22</t>
  </si>
  <si>
    <t>611621H1</t>
  </si>
  <si>
    <t>Dveře dřevěné interiérové 600 x 1970 mm L/P, fólie, plné ozn.03</t>
  </si>
  <si>
    <t>23</t>
  </si>
  <si>
    <t>6116535H5</t>
  </si>
  <si>
    <t>Dveře dřevěné protipožární  hladké EI 30, 900 x 1970 mm L/P ozn.01</t>
  </si>
  <si>
    <t>767</t>
  </si>
  <si>
    <t>Konstrukce doplňkové stavební (zámečnické)</t>
  </si>
  <si>
    <t>24</t>
  </si>
  <si>
    <t>767587211RU7</t>
  </si>
  <si>
    <t>Podhled minerální Knauf,vidit.kce,kazeta 600x600mm</t>
  </si>
  <si>
    <t>767_</t>
  </si>
  <si>
    <t>Položka je určena pro montáž podhledů Knauf z kazet 600 x 600 mm. V položce jsou zakalkulovány náklady na: - montáž a dodávku kazet.</t>
  </si>
  <si>
    <t>25</t>
  </si>
  <si>
    <t>7670000H1VD</t>
  </si>
  <si>
    <t>Revizní dvířka kovová, dodávka a montáž</t>
  </si>
  <si>
    <t>Kus</t>
  </si>
  <si>
    <t>26</t>
  </si>
  <si>
    <t>7671300H1VD</t>
  </si>
  <si>
    <t>Demontáž bytového jádra</t>
  </si>
  <si>
    <t>celek</t>
  </si>
  <si>
    <t>771</t>
  </si>
  <si>
    <t>Podlahy z dlaždic</t>
  </si>
  <si>
    <t>27</t>
  </si>
  <si>
    <t>771575109R00</t>
  </si>
  <si>
    <t>Montáž podlah z dlaždic hladkých keramických, do tmele, 300 x 300 mm</t>
  </si>
  <si>
    <t>771_</t>
  </si>
  <si>
    <t>77_</t>
  </si>
  <si>
    <t>28</t>
  </si>
  <si>
    <t>597600OK1VD</t>
  </si>
  <si>
    <t>Keramická dlažba - orientační cena</t>
  </si>
  <si>
    <t>776</t>
  </si>
  <si>
    <t>Podlahy povlakové</t>
  </si>
  <si>
    <t>29</t>
  </si>
  <si>
    <t>776510010RA0</t>
  </si>
  <si>
    <t>Demontáž povlakových podlah z nášlapné plochy</t>
  </si>
  <si>
    <t>776_</t>
  </si>
  <si>
    <t>30</t>
  </si>
  <si>
    <t>776520010RAH</t>
  </si>
  <si>
    <t>Podlaha povlaková z PVC pásů, soklík</t>
  </si>
  <si>
    <t>podlahovina vinylová Tarkett  tl.2,0 mm</t>
  </si>
  <si>
    <t>781</t>
  </si>
  <si>
    <t>Obklady (keramické)</t>
  </si>
  <si>
    <t>31</t>
  </si>
  <si>
    <t>781475124RAA</t>
  </si>
  <si>
    <t>Obklad vnitřní  do tmele keramický,včetně  izolace, do 300 x 300 mm</t>
  </si>
  <si>
    <t>781_</t>
  </si>
  <si>
    <t>78_</t>
  </si>
  <si>
    <t>Obkladačky na lepící tmel, podklad izolován izolační hmotou, plocha spárována izolační hmotou, spára podlaha - stěna těsněna páskou a pružnou hmotou. Pro vlhké prostředí (koupelny, WC)</t>
  </si>
  <si>
    <t>32</t>
  </si>
  <si>
    <t>781230121R00</t>
  </si>
  <si>
    <t>Obkládání stěn obkládačkami keramickými, do tmele, do 300 x 300 mm</t>
  </si>
  <si>
    <t>33</t>
  </si>
  <si>
    <t>597600OK2VD</t>
  </si>
  <si>
    <t>Keramický obklad - orientační cena</t>
  </si>
  <si>
    <t>784</t>
  </si>
  <si>
    <t>Malby</t>
  </si>
  <si>
    <t>784450020RA0</t>
  </si>
  <si>
    <t>Malba ze směsi, penetrace 1x, bílá 2x</t>
  </si>
  <si>
    <t>784_</t>
  </si>
  <si>
    <t>35</t>
  </si>
  <si>
    <t>784900010RAB</t>
  </si>
  <si>
    <t>Odstranění stávajících maleb</t>
  </si>
  <si>
    <t>oškrábáním</t>
  </si>
  <si>
    <t>95</t>
  </si>
  <si>
    <t>Různé dokončovací konstrukce a práce na pozemních stavbách</t>
  </si>
  <si>
    <t>36</t>
  </si>
  <si>
    <t>952901110R00</t>
  </si>
  <si>
    <t>Čištění mytím vnějších ploch oken a dveří</t>
  </si>
  <si>
    <t>95_</t>
  </si>
  <si>
    <t>9_</t>
  </si>
  <si>
    <t>97</t>
  </si>
  <si>
    <t>Bourací práce</t>
  </si>
  <si>
    <t>37</t>
  </si>
  <si>
    <t>978013121R00</t>
  </si>
  <si>
    <t>Otlučení omítek vnitřních stěn v rozsahu do 10 %</t>
  </si>
  <si>
    <t>97_</t>
  </si>
  <si>
    <t>38</t>
  </si>
  <si>
    <t>978011141R00</t>
  </si>
  <si>
    <t>Otlučení omítek vnitřních vápenných stropů do 30 %</t>
  </si>
  <si>
    <t>H01</t>
  </si>
  <si>
    <t>Budovy občanské výstavby</t>
  </si>
  <si>
    <t>39</t>
  </si>
  <si>
    <t>998011001R00</t>
  </si>
  <si>
    <t>Přesun hmot pro budovy zděné výšky do 6 m</t>
  </si>
  <si>
    <t>t</t>
  </si>
  <si>
    <t>H01_</t>
  </si>
  <si>
    <t>M21001</t>
  </si>
  <si>
    <t>Elektroinstalace</t>
  </si>
  <si>
    <t>40</t>
  </si>
  <si>
    <t>210000H01VD</t>
  </si>
  <si>
    <t>M21001_</t>
  </si>
  <si>
    <t>Materiál, montáže, revizní zpráva</t>
  </si>
  <si>
    <t>S</t>
  </si>
  <si>
    <t>Přesuny sutí</t>
  </si>
  <si>
    <t>41</t>
  </si>
  <si>
    <t>979082111R00</t>
  </si>
  <si>
    <t>Vnitrostaveništní doprava suti do 10 m</t>
  </si>
  <si>
    <t>S_</t>
  </si>
  <si>
    <t>42</t>
  </si>
  <si>
    <t>979083117R00</t>
  </si>
  <si>
    <t>Vodorovné přemístění suti na skládku do 6000 m</t>
  </si>
  <si>
    <t xml:space="preserve"> V položce jsou zakalkulovány i náklady na naložení suti na dopravní prostředek a složení</t>
  </si>
  <si>
    <t>43</t>
  </si>
  <si>
    <t>979083191R00</t>
  </si>
  <si>
    <t>Příplatek za dalších započatých 1000 m nad 6000 m</t>
  </si>
  <si>
    <t>44</t>
  </si>
  <si>
    <t>979990107R00</t>
  </si>
  <si>
    <t>Poplatek za uložení suti - směs betonu, cihel, dřeva, skupina odpadu 170904</t>
  </si>
  <si>
    <t>Celkem:</t>
  </si>
  <si>
    <t>Poznámka:</t>
  </si>
  <si>
    <t>Slepý stavební rozpočet - Jen podskupiny</t>
  </si>
  <si>
    <t>Zkrácený popis</t>
  </si>
  <si>
    <t>T</t>
  </si>
  <si>
    <t>Výkaz výměr</t>
  </si>
  <si>
    <t>Objekt</t>
  </si>
  <si>
    <t>Potřebné množství</t>
  </si>
  <si>
    <t>2,63*1,1</t>
  </si>
  <si>
    <t>2,63*3,07</t>
  </si>
  <si>
    <t>2,63*(1,0+1,52+1,1+0,09)</t>
  </si>
  <si>
    <t>2,63</t>
  </si>
  <si>
    <t>51,7</t>
  </si>
  <si>
    <t>143</t>
  </si>
  <si>
    <t>2,58*(2,35+1,375)*2</t>
  </si>
  <si>
    <t>-0,8*2</t>
  </si>
  <si>
    <t>2,58*(1,9+1,375)*2</t>
  </si>
  <si>
    <t>2,58*(5,5+2,4)*2</t>
  </si>
  <si>
    <t>2,58*0,5*3</t>
  </si>
  <si>
    <t>2,58*(6,78+3,075)*2</t>
  </si>
  <si>
    <t>2,58*0,15*3</t>
  </si>
  <si>
    <t>2,58*(3,02+1,95)*2</t>
  </si>
  <si>
    <t>-0,6*2*2</t>
  </si>
  <si>
    <t>-0,8*2*3</t>
  </si>
  <si>
    <t>-0,9*2</t>
  </si>
  <si>
    <t>8,25+5,55</t>
  </si>
  <si>
    <t>5,55</t>
  </si>
  <si>
    <t>;ztratné 8%; 0,444</t>
  </si>
  <si>
    <t>52,5</t>
  </si>
  <si>
    <t>8,25+3+2,7+12,7+16,85+2,65</t>
  </si>
  <si>
    <t>2*(1,1+1,1+1,1+1,52)</t>
  </si>
  <si>
    <t>2*(2,075+2,5+0,93+0,6)</t>
  </si>
  <si>
    <t>9,64+10,61</t>
  </si>
  <si>
    <t>;ztratné 8%; 1,62</t>
  </si>
  <si>
    <t>51,7-8,25-5,55</t>
  </si>
  <si>
    <t>2,58*(2,,35+1,37)*2</t>
  </si>
  <si>
    <t>2,58*(3,02+1,305+1,95)*2</t>
  </si>
  <si>
    <t>-0,6*2*4</t>
  </si>
  <si>
    <t>-0,8*2*5</t>
  </si>
  <si>
    <t>165,99</t>
  </si>
  <si>
    <t>0,609+3,519+0,461+1,538+0,118</t>
  </si>
  <si>
    <t>0,137+0,283+0,148+0,338+0,632+0,219</t>
  </si>
  <si>
    <t>0,2+0,188+1,089</t>
  </si>
  <si>
    <t>0,143*6</t>
  </si>
  <si>
    <t>2,335</t>
  </si>
  <si>
    <t>2,335*10</t>
  </si>
  <si>
    <t>Krycí list slepého rozpočtu</t>
  </si>
  <si>
    <t>IČO/DIČ:</t>
  </si>
  <si>
    <t>00235440/</t>
  </si>
  <si>
    <t>11422131/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</si>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</sst>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35" xfId="0" applyNumberFormat="1" applyFont="1" applyFill="1" applyBorder="1" applyAlignment="1" applyProtection="1">
      <alignment horizontal="left" vertical="center"/>
    </xf>
    <xf numFmtId="0" fontId="2" fillId="0" borderId="38" xfId="0" applyNumberFormat="1" applyFont="1" applyFill="1" applyBorder="1" applyAlignment="1" applyProtection="1">
      <alignment horizontal="left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4" fontId="3" fillId="0" borderId="29" xfId="0" applyNumberFormat="1" applyFont="1" applyFill="1" applyBorder="1" applyAlignment="1" applyProtection="1">
      <alignment horizontal="right" vertical="center"/>
    </xf>
    <xf numFmtId="4" fontId="3" fillId="0" borderId="30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4" fontId="3" fillId="0" borderId="33" xfId="0" applyNumberFormat="1" applyFont="1" applyFill="1" applyBorder="1" applyAlignment="1" applyProtection="1">
      <alignment horizontal="righ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2" fillId="0" borderId="43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righ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2" fillId="2" borderId="5" xfId="0" applyNumberFormat="1" applyFont="1" applyFill="1" applyBorder="1" applyAlignment="1" applyProtection="1">
      <alignment horizontal="left" vertical="center"/>
    </xf>
    <xf numFmtId="0" fontId="0" fillId="0" borderId="31" xfId="0" applyNumberFormat="1" applyFont="1" applyFill="1" applyBorder="1" applyAlignment="1" applyProtection="1"/>
    <xf numFmtId="0" fontId="0" fillId="0" borderId="32" xfId="0" applyNumberFormat="1" applyFont="1" applyFill="1" applyBorder="1" applyAlignment="1" applyProtection="1"/>
    <xf numFmtId="0" fontId="6" fillId="0" borderId="32" xfId="0" applyNumberFormat="1" applyFont="1" applyFill="1" applyBorder="1" applyAlignment="1" applyProtection="1">
      <alignment horizontal="left" vertical="center"/>
    </xf>
    <xf numFmtId="4" fontId="6" fillId="0" borderId="32" xfId="0" applyNumberFormat="1" applyFont="1" applyFill="1" applyBorder="1" applyAlignment="1" applyProtection="1">
      <alignment horizontal="right" vertical="center"/>
    </xf>
    <xf numFmtId="0" fontId="0" fillId="0" borderId="33" xfId="0" applyNumberFormat="1" applyFont="1" applyFill="1" applyBorder="1" applyAlignment="1" applyProtection="1"/>
    <xf numFmtId="0" fontId="8" fillId="2" borderId="49" xfId="0" applyNumberFormat="1" applyFont="1" applyFill="1" applyBorder="1" applyAlignment="1" applyProtection="1">
      <alignment horizontal="center" vertical="center"/>
    </xf>
    <xf numFmtId="0" fontId="8" fillId="2" borderId="52" xfId="0" applyNumberFormat="1" applyFont="1" applyFill="1" applyBorder="1" applyAlignment="1" applyProtection="1">
      <alignment horizontal="center" vertical="center"/>
    </xf>
    <xf numFmtId="0" fontId="10" fillId="0" borderId="53" xfId="0" applyNumberFormat="1" applyFont="1" applyFill="1" applyBorder="1" applyAlignment="1" applyProtection="1">
      <alignment horizontal="left" vertical="center"/>
    </xf>
    <xf numFmtId="0" fontId="11" fillId="0" borderId="54" xfId="0" applyNumberFormat="1" applyFont="1" applyFill="1" applyBorder="1" applyAlignment="1" applyProtection="1">
      <alignment horizontal="left" vertical="center"/>
    </xf>
    <xf numFmtId="4" fontId="11" fillId="0" borderId="54" xfId="0" applyNumberFormat="1" applyFont="1" applyFill="1" applyBorder="1" applyAlignment="1" applyProtection="1">
      <alignment horizontal="right" vertical="center"/>
    </xf>
    <xf numFmtId="0" fontId="11" fillId="0" borderId="54" xfId="0" applyNumberFormat="1" applyFont="1" applyFill="1" applyBorder="1" applyAlignment="1" applyProtection="1">
      <alignment horizontal="righ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4" fontId="11" fillId="0" borderId="61" xfId="0" applyNumberFormat="1" applyFont="1" applyFill="1" applyBorder="1" applyAlignment="1" applyProtection="1">
      <alignment horizontal="right" vertical="center"/>
    </xf>
    <xf numFmtId="0" fontId="11" fillId="0" borderId="61" xfId="0" applyNumberFormat="1" applyFont="1" applyFill="1" applyBorder="1" applyAlignment="1" applyProtection="1">
      <alignment horizontal="right" vertical="center"/>
    </xf>
    <xf numFmtId="4" fontId="11" fillId="0" borderId="52" xfId="0" applyNumberFormat="1" applyFont="1" applyFill="1" applyBorder="1" applyAlignment="1" applyProtection="1">
      <alignment horizontal="right" vertical="center"/>
    </xf>
    <xf numFmtId="4" fontId="10" fillId="2" borderId="51" xfId="0" applyNumberFormat="1" applyFont="1" applyFill="1" applyBorder="1" applyAlignment="1" applyProtection="1">
      <alignment horizontal="right" vertical="center"/>
    </xf>
    <xf numFmtId="4" fontId="10" fillId="2" borderId="56" xfId="0" applyNumberFormat="1" applyFont="1" applyFill="1" applyBorder="1" applyAlignment="1" applyProtection="1">
      <alignment horizontal="right" vertical="center"/>
    </xf>
    <xf numFmtId="0" fontId="5" fillId="0" borderId="29" xfId="0" applyNumberFormat="1" applyFont="1" applyFill="1" applyBorder="1" applyAlignment="1" applyProtection="1">
      <alignment horizontal="left" vertical="center"/>
    </xf>
    <xf numFmtId="0" fontId="2" fillId="0" borderId="75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9" xfId="0" applyNumberFormat="1" applyFont="1" applyFill="1" applyBorder="1" applyAlignment="1" applyProtection="1">
      <alignment horizontal="right" vertical="center"/>
    </xf>
    <xf numFmtId="0" fontId="3" fillId="0" borderId="79" xfId="0" applyNumberFormat="1" applyFont="1" applyFill="1" applyBorder="1" applyAlignment="1" applyProtection="1">
      <alignment horizontal="left" vertical="center"/>
    </xf>
    <xf numFmtId="0" fontId="2" fillId="0" borderId="83" xfId="0" applyNumberFormat="1" applyFont="1" applyFill="1" applyBorder="1" applyAlignment="1" applyProtection="1">
      <alignment horizontal="left" vertical="center"/>
    </xf>
    <xf numFmtId="0" fontId="2" fillId="0" borderId="83" xfId="0" applyNumberFormat="1" applyFont="1" applyFill="1" applyBorder="1" applyAlignment="1" applyProtection="1">
      <alignment horizontal="right" vertical="center"/>
    </xf>
    <xf numFmtId="4" fontId="2" fillId="0" borderId="83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1" fillId="0" borderId="68" xfId="0" applyNumberFormat="1" applyFont="1" applyFill="1" applyBorder="1" applyAlignment="1" applyProtection="1">
      <alignment horizontal="left" vertical="center"/>
    </xf>
    <xf numFmtId="0" fontId="11" fillId="0" borderId="36" xfId="0" applyNumberFormat="1" applyFont="1" applyFill="1" applyBorder="1" applyAlignment="1" applyProtection="1">
      <alignment horizontal="left" vertical="center"/>
    </xf>
    <xf numFmtId="0" fontId="11" fillId="0" borderId="67" xfId="0" applyNumberFormat="1" applyFont="1" applyFill="1" applyBorder="1" applyAlignment="1" applyProtection="1">
      <alignment horizontal="left" vertical="center"/>
    </xf>
    <xf numFmtId="0" fontId="11" fillId="0" borderId="71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70" xfId="0" applyNumberFormat="1" applyFont="1" applyFill="1" applyBorder="1" applyAlignment="1" applyProtection="1">
      <alignment horizontal="left" vertical="center"/>
    </xf>
    <xf numFmtId="0" fontId="11" fillId="0" borderId="74" xfId="0" applyNumberFormat="1" applyFont="1" applyFill="1" applyBorder="1" applyAlignment="1" applyProtection="1">
      <alignment horizontal="left" vertical="center"/>
    </xf>
    <xf numFmtId="0" fontId="11" fillId="0" borderId="39" xfId="0" applyNumberFormat="1" applyFont="1" applyFill="1" applyBorder="1" applyAlignment="1" applyProtection="1">
      <alignment horizontal="left" vertical="center"/>
    </xf>
    <xf numFmtId="0" fontId="11" fillId="0" borderId="73" xfId="0" applyNumberFormat="1" applyFont="1" applyFill="1" applyBorder="1" applyAlignment="1" applyProtection="1">
      <alignment horizontal="left" vertical="center"/>
    </xf>
    <xf numFmtId="0" fontId="11" fillId="0" borderId="66" xfId="0" applyNumberFormat="1" applyFont="1" applyFill="1" applyBorder="1" applyAlignment="1" applyProtection="1">
      <alignment horizontal="left" vertical="center"/>
    </xf>
    <xf numFmtId="0" fontId="11" fillId="0" borderId="69" xfId="0" applyNumberFormat="1" applyFont="1" applyFill="1" applyBorder="1" applyAlignment="1" applyProtection="1">
      <alignment horizontal="left" vertical="center"/>
    </xf>
    <xf numFmtId="0" fontId="11" fillId="0" borderId="72" xfId="0" applyNumberFormat="1" applyFont="1" applyFill="1" applyBorder="1" applyAlignment="1" applyProtection="1">
      <alignment horizontal="left" vertical="center"/>
    </xf>
    <xf numFmtId="0" fontId="10" fillId="0" borderId="58" xfId="0" applyNumberFormat="1" applyFont="1" applyFill="1" applyBorder="1" applyAlignment="1" applyProtection="1">
      <alignment horizontal="left" vertical="center"/>
    </xf>
    <xf numFmtId="0" fontId="10" fillId="0" borderId="56" xfId="0" applyNumberFormat="1" applyFont="1" applyFill="1" applyBorder="1" applyAlignment="1" applyProtection="1">
      <alignment horizontal="left" vertical="center"/>
    </xf>
    <xf numFmtId="0" fontId="10" fillId="2" borderId="63" xfId="0" applyNumberFormat="1" applyFont="1" applyFill="1" applyBorder="1" applyAlignment="1" applyProtection="1">
      <alignment horizontal="left" vertical="center"/>
    </xf>
    <xf numFmtId="0" fontId="10" fillId="2" borderId="64" xfId="0" applyNumberFormat="1" applyFont="1" applyFill="1" applyBorder="1" applyAlignment="1" applyProtection="1">
      <alignment horizontal="left" vertical="center"/>
    </xf>
    <xf numFmtId="0" fontId="10" fillId="2" borderId="58" xfId="0" applyNumberFormat="1" applyFont="1" applyFill="1" applyBorder="1" applyAlignment="1" applyProtection="1">
      <alignment horizontal="left" vertical="center"/>
    </xf>
    <xf numFmtId="0" fontId="10" fillId="2" borderId="65" xfId="0" applyNumberFormat="1" applyFont="1" applyFill="1" applyBorder="1" applyAlignment="1" applyProtection="1">
      <alignment horizontal="left" vertical="center"/>
    </xf>
    <xf numFmtId="0" fontId="10" fillId="2" borderId="50" xfId="0" applyNumberFormat="1" applyFont="1" applyFill="1" applyBorder="1" applyAlignment="1" applyProtection="1">
      <alignment horizontal="left" vertical="center"/>
    </xf>
    <xf numFmtId="0" fontId="10" fillId="2" borderId="55" xfId="0" applyNumberFormat="1" applyFont="1" applyFill="1" applyBorder="1" applyAlignment="1" applyProtection="1">
      <alignment horizontal="left" vertical="center"/>
    </xf>
    <xf numFmtId="0" fontId="11" fillId="0" borderId="55" xfId="0" applyNumberFormat="1" applyFont="1" applyFill="1" applyBorder="1" applyAlignment="1" applyProtection="1">
      <alignment horizontal="left" vertical="center"/>
    </xf>
    <xf numFmtId="0" fontId="11" fillId="0" borderId="56" xfId="0" applyNumberFormat="1" applyFont="1" applyFill="1" applyBorder="1" applyAlignment="1" applyProtection="1">
      <alignment horizontal="left" vertical="center"/>
    </xf>
    <xf numFmtId="0" fontId="11" fillId="0" borderId="62" xfId="0" applyNumberFormat="1" applyFont="1" applyFill="1" applyBorder="1" applyAlignment="1" applyProtection="1">
      <alignment horizontal="left" vertical="center"/>
    </xf>
    <xf numFmtId="0" fontId="11" fillId="0" borderId="60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 applyProtection="1">
      <alignment horizontal="left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0" fontId="10" fillId="0" borderId="55" xfId="0" applyNumberFormat="1" applyFont="1" applyFill="1" applyBorder="1" applyAlignment="1" applyProtection="1">
      <alignment horizontal="left" vertical="center"/>
    </xf>
    <xf numFmtId="0" fontId="10" fillId="0" borderId="59" xfId="0" applyNumberFormat="1" applyFont="1" applyFill="1" applyBorder="1" applyAlignment="1" applyProtection="1">
      <alignment horizontal="left" vertical="center"/>
    </xf>
    <xf numFmtId="0" fontId="10" fillId="0" borderId="60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7" fillId="0" borderId="48" xfId="0" applyNumberFormat="1" applyFont="1" applyFill="1" applyBorder="1" applyAlignment="1" applyProtection="1">
      <alignment horizontal="center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5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39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32" xfId="0" applyNumberFormat="1" applyFont="1" applyFill="1" applyBorder="1" applyAlignment="1" applyProtection="1">
      <alignment horizontal="left" vertical="center"/>
    </xf>
    <xf numFmtId="0" fontId="2" fillId="0" borderId="44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10" fillId="0" borderId="80" xfId="0" applyNumberFormat="1" applyFont="1" applyFill="1" applyBorder="1" applyAlignment="1" applyProtection="1">
      <alignment horizontal="left" vertical="center"/>
    </xf>
    <xf numFmtId="0" fontId="10" fillId="0" borderId="81" xfId="0" applyNumberFormat="1" applyFont="1" applyFill="1" applyBorder="1" applyAlignment="1" applyProtection="1">
      <alignment horizontal="left" vertical="center"/>
    </xf>
    <xf numFmtId="0" fontId="10" fillId="0" borderId="82" xfId="0" applyNumberFormat="1" applyFont="1" applyFill="1" applyBorder="1" applyAlignment="1" applyProtection="1">
      <alignment horizontal="left" vertical="center"/>
    </xf>
    <xf numFmtId="4" fontId="10" fillId="0" borderId="84" xfId="0" applyNumberFormat="1" applyFont="1" applyFill="1" applyBorder="1" applyAlignment="1" applyProtection="1">
      <alignment horizontal="right" vertical="center"/>
    </xf>
    <xf numFmtId="0" fontId="10" fillId="0" borderId="81" xfId="0" applyNumberFormat="1" applyFont="1" applyFill="1" applyBorder="1" applyAlignment="1" applyProtection="1">
      <alignment horizontal="right" vertical="center"/>
    </xf>
    <xf numFmtId="0" fontId="10" fillId="0" borderId="82" xfId="0" applyNumberFormat="1" applyFont="1" applyFill="1" applyBorder="1" applyAlignment="1" applyProtection="1">
      <alignment horizontal="right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F25" sqref="F2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24" t="s">
        <v>318</v>
      </c>
      <c r="B1" s="125"/>
      <c r="C1" s="125"/>
      <c r="D1" s="125"/>
      <c r="E1" s="125"/>
      <c r="F1" s="125"/>
      <c r="G1" s="125"/>
      <c r="H1" s="125"/>
      <c r="I1" s="125"/>
    </row>
    <row r="2" spans="1:9" x14ac:dyDescent="0.25">
      <c r="A2" s="126" t="s">
        <v>1</v>
      </c>
      <c r="B2" s="127"/>
      <c r="C2" s="132" t="str">
        <f>'Stavební rozpočet'!C2</f>
        <v>KOLÍN, HUSOVA 112, ÚPRAVY BYT. JEDNOTKY Ć. 9</v>
      </c>
      <c r="D2" s="133"/>
      <c r="E2" s="123" t="s">
        <v>5</v>
      </c>
      <c r="F2" s="123" t="str">
        <f>'Stavební rozpočet'!I2</f>
        <v>Město Kolín, Karlovo náměstí  78</v>
      </c>
      <c r="G2" s="127"/>
      <c r="H2" s="123" t="s">
        <v>319</v>
      </c>
      <c r="I2" s="129" t="s">
        <v>320</v>
      </c>
    </row>
    <row r="3" spans="1:9" ht="15" customHeight="1" x14ac:dyDescent="0.25">
      <c r="A3" s="128"/>
      <c r="B3" s="84"/>
      <c r="C3" s="134"/>
      <c r="D3" s="134"/>
      <c r="E3" s="84"/>
      <c r="F3" s="84"/>
      <c r="G3" s="84"/>
      <c r="H3" s="84"/>
      <c r="I3" s="130"/>
    </row>
    <row r="4" spans="1:9" x14ac:dyDescent="0.25">
      <c r="A4" s="121" t="s">
        <v>7</v>
      </c>
      <c r="B4" s="84"/>
      <c r="C4" s="83" t="str">
        <f>'Stavební rozpočet'!C4</f>
        <v>Opravy a stavební úpravy byt. jednotky č.9</v>
      </c>
      <c r="D4" s="84"/>
      <c r="E4" s="83" t="s">
        <v>11</v>
      </c>
      <c r="F4" s="83" t="str">
        <f>'Stavební rozpočet'!I4</f>
        <v>Ing. M. Outlý, O-pro servis Kolín</v>
      </c>
      <c r="G4" s="84"/>
      <c r="H4" s="83" t="s">
        <v>319</v>
      </c>
      <c r="I4" s="130" t="s">
        <v>321</v>
      </c>
    </row>
    <row r="5" spans="1:9" ht="15" customHeight="1" x14ac:dyDescent="0.25">
      <c r="A5" s="128"/>
      <c r="B5" s="84"/>
      <c r="C5" s="84"/>
      <c r="D5" s="84"/>
      <c r="E5" s="84"/>
      <c r="F5" s="84"/>
      <c r="G5" s="84"/>
      <c r="H5" s="84"/>
      <c r="I5" s="130"/>
    </row>
    <row r="6" spans="1:9" x14ac:dyDescent="0.25">
      <c r="A6" s="121" t="s">
        <v>13</v>
      </c>
      <c r="B6" s="84"/>
      <c r="C6" s="83" t="str">
        <f>'Stavební rozpočet'!C6</f>
        <v>Kolín, Husova 112</v>
      </c>
      <c r="D6" s="84"/>
      <c r="E6" s="83" t="s">
        <v>16</v>
      </c>
      <c r="F6" s="83" t="str">
        <f>'Stavební rozpočet'!I6</f>
        <v> </v>
      </c>
      <c r="G6" s="84"/>
      <c r="H6" s="83" t="s">
        <v>319</v>
      </c>
      <c r="I6" s="130" t="s">
        <v>51</v>
      </c>
    </row>
    <row r="7" spans="1:9" ht="15" customHeight="1" x14ac:dyDescent="0.25">
      <c r="A7" s="128"/>
      <c r="B7" s="84"/>
      <c r="C7" s="84"/>
      <c r="D7" s="84"/>
      <c r="E7" s="84"/>
      <c r="F7" s="84"/>
      <c r="G7" s="84"/>
      <c r="H7" s="84"/>
      <c r="I7" s="130"/>
    </row>
    <row r="8" spans="1:9" x14ac:dyDescent="0.25">
      <c r="A8" s="121" t="s">
        <v>9</v>
      </c>
      <c r="B8" s="84"/>
      <c r="C8" s="83" t="str">
        <f>'Stavební rozpočet'!G4</f>
        <v>16.04.2025</v>
      </c>
      <c r="D8" s="84"/>
      <c r="E8" s="83" t="s">
        <v>15</v>
      </c>
      <c r="F8" s="83" t="str">
        <f>'Stavební rozpočet'!G6</f>
        <v xml:space="preserve"> </v>
      </c>
      <c r="G8" s="84"/>
      <c r="H8" s="84" t="s">
        <v>322</v>
      </c>
      <c r="I8" s="131">
        <v>44</v>
      </c>
    </row>
    <row r="9" spans="1:9" x14ac:dyDescent="0.25">
      <c r="A9" s="128"/>
      <c r="B9" s="84"/>
      <c r="C9" s="84"/>
      <c r="D9" s="84"/>
      <c r="E9" s="84"/>
      <c r="F9" s="84"/>
      <c r="G9" s="84"/>
      <c r="H9" s="84"/>
      <c r="I9" s="130"/>
    </row>
    <row r="10" spans="1:9" x14ac:dyDescent="0.25">
      <c r="A10" s="121" t="s">
        <v>18</v>
      </c>
      <c r="B10" s="84"/>
      <c r="C10" s="83" t="str">
        <f>'Stavební rozpočet'!C8</f>
        <v>803</v>
      </c>
      <c r="D10" s="84"/>
      <c r="E10" s="83" t="s">
        <v>21</v>
      </c>
      <c r="F10" s="83" t="str">
        <f>'Stavební rozpočet'!I8</f>
        <v> </v>
      </c>
      <c r="G10" s="84"/>
      <c r="H10" s="84" t="s">
        <v>323</v>
      </c>
      <c r="I10" s="115" t="str">
        <f>'Stavební rozpočet'!G8</f>
        <v>16.04.2025</v>
      </c>
    </row>
    <row r="11" spans="1:9" x14ac:dyDescent="0.25">
      <c r="A11" s="122"/>
      <c r="B11" s="120"/>
      <c r="C11" s="120"/>
      <c r="D11" s="120"/>
      <c r="E11" s="120"/>
      <c r="F11" s="120"/>
      <c r="G11" s="120"/>
      <c r="H11" s="120"/>
      <c r="I11" s="116"/>
    </row>
    <row r="12" spans="1:9" ht="23.25" x14ac:dyDescent="0.25">
      <c r="A12" s="117" t="s">
        <v>324</v>
      </c>
      <c r="B12" s="117"/>
      <c r="C12" s="117"/>
      <c r="D12" s="117"/>
      <c r="E12" s="117"/>
      <c r="F12" s="117"/>
      <c r="G12" s="117"/>
      <c r="H12" s="117"/>
      <c r="I12" s="117"/>
    </row>
    <row r="13" spans="1:9" ht="26.25" customHeight="1" x14ac:dyDescent="0.25">
      <c r="A13" s="62" t="s">
        <v>325</v>
      </c>
      <c r="B13" s="118" t="s">
        <v>326</v>
      </c>
      <c r="C13" s="119"/>
      <c r="D13" s="63" t="s">
        <v>327</v>
      </c>
      <c r="E13" s="118" t="s">
        <v>328</v>
      </c>
      <c r="F13" s="119"/>
      <c r="G13" s="63" t="s">
        <v>329</v>
      </c>
      <c r="H13" s="118" t="s">
        <v>330</v>
      </c>
      <c r="I13" s="119"/>
    </row>
    <row r="14" spans="1:9" ht="15.75" x14ac:dyDescent="0.25">
      <c r="A14" s="64" t="s">
        <v>331</v>
      </c>
      <c r="B14" s="65" t="s">
        <v>332</v>
      </c>
      <c r="C14" s="66">
        <f>SUM('Stavební rozpočet'!AB12:AB89)</f>
        <v>0</v>
      </c>
      <c r="D14" s="105" t="s">
        <v>333</v>
      </c>
      <c r="E14" s="106"/>
      <c r="F14" s="66">
        <f>VORN!I15</f>
        <v>0</v>
      </c>
      <c r="G14" s="105" t="s">
        <v>334</v>
      </c>
      <c r="H14" s="106"/>
      <c r="I14" s="67">
        <f>VORN!I21</f>
        <v>0</v>
      </c>
    </row>
    <row r="15" spans="1:9" ht="15.75" x14ac:dyDescent="0.25">
      <c r="A15" s="68" t="s">
        <v>51</v>
      </c>
      <c r="B15" s="65" t="s">
        <v>36</v>
      </c>
      <c r="C15" s="66">
        <f>SUM('Stavební rozpočet'!AC12:AC89)</f>
        <v>0</v>
      </c>
      <c r="D15" s="105" t="s">
        <v>335</v>
      </c>
      <c r="E15" s="106"/>
      <c r="F15" s="66">
        <f>VORN!I16</f>
        <v>0</v>
      </c>
      <c r="G15" s="105" t="s">
        <v>336</v>
      </c>
      <c r="H15" s="106"/>
      <c r="I15" s="67">
        <f>VORN!I22</f>
        <v>0</v>
      </c>
    </row>
    <row r="16" spans="1:9" ht="15.75" x14ac:dyDescent="0.25">
      <c r="A16" s="64" t="s">
        <v>337</v>
      </c>
      <c r="B16" s="65" t="s">
        <v>332</v>
      </c>
      <c r="C16" s="66">
        <f>SUM('Stavební rozpočet'!AD12:AD89)</f>
        <v>0</v>
      </c>
      <c r="D16" s="105" t="s">
        <v>338</v>
      </c>
      <c r="E16" s="106"/>
      <c r="F16" s="66">
        <f>VORN!I17</f>
        <v>0</v>
      </c>
      <c r="G16" s="105" t="s">
        <v>339</v>
      </c>
      <c r="H16" s="106"/>
      <c r="I16" s="67">
        <f>VORN!I23</f>
        <v>0</v>
      </c>
    </row>
    <row r="17" spans="1:9" ht="15.75" x14ac:dyDescent="0.25">
      <c r="A17" s="68" t="s">
        <v>51</v>
      </c>
      <c r="B17" s="65" t="s">
        <v>36</v>
      </c>
      <c r="C17" s="66">
        <f>SUM('Stavební rozpočet'!AE12:AE89)</f>
        <v>0</v>
      </c>
      <c r="D17" s="105" t="s">
        <v>51</v>
      </c>
      <c r="E17" s="106"/>
      <c r="F17" s="67" t="s">
        <v>51</v>
      </c>
      <c r="G17" s="105" t="s">
        <v>340</v>
      </c>
      <c r="H17" s="106"/>
      <c r="I17" s="67">
        <f>VORN!I24</f>
        <v>0</v>
      </c>
    </row>
    <row r="18" spans="1:9" ht="15.75" x14ac:dyDescent="0.25">
      <c r="A18" s="64" t="s">
        <v>341</v>
      </c>
      <c r="B18" s="65" t="s">
        <v>332</v>
      </c>
      <c r="C18" s="66">
        <f>SUM('Stavební rozpočet'!AF12:AF89)</f>
        <v>0</v>
      </c>
      <c r="D18" s="105" t="s">
        <v>51</v>
      </c>
      <c r="E18" s="106"/>
      <c r="F18" s="67" t="s">
        <v>51</v>
      </c>
      <c r="G18" s="105" t="s">
        <v>342</v>
      </c>
      <c r="H18" s="106"/>
      <c r="I18" s="67">
        <f>VORN!I25</f>
        <v>0</v>
      </c>
    </row>
    <row r="19" spans="1:9" ht="15.75" x14ac:dyDescent="0.25">
      <c r="A19" s="68" t="s">
        <v>51</v>
      </c>
      <c r="B19" s="65" t="s">
        <v>36</v>
      </c>
      <c r="C19" s="66">
        <f>SUM('Stavební rozpočet'!AG12:AG89)</f>
        <v>0</v>
      </c>
      <c r="D19" s="105" t="s">
        <v>51</v>
      </c>
      <c r="E19" s="106"/>
      <c r="F19" s="67" t="s">
        <v>51</v>
      </c>
      <c r="G19" s="105" t="s">
        <v>343</v>
      </c>
      <c r="H19" s="106"/>
      <c r="I19" s="67">
        <f>VORN!I26</f>
        <v>0</v>
      </c>
    </row>
    <row r="20" spans="1:9" ht="15.75" x14ac:dyDescent="0.25">
      <c r="A20" s="97" t="s">
        <v>344</v>
      </c>
      <c r="B20" s="98"/>
      <c r="C20" s="66">
        <f>SUM('Stavební rozpočet'!AH12:AH89)</f>
        <v>0</v>
      </c>
      <c r="D20" s="105" t="s">
        <v>51</v>
      </c>
      <c r="E20" s="106"/>
      <c r="F20" s="67" t="s">
        <v>51</v>
      </c>
      <c r="G20" s="105" t="s">
        <v>51</v>
      </c>
      <c r="H20" s="106"/>
      <c r="I20" s="67" t="s">
        <v>51</v>
      </c>
    </row>
    <row r="21" spans="1:9" ht="15.75" x14ac:dyDescent="0.25">
      <c r="A21" s="112" t="s">
        <v>345</v>
      </c>
      <c r="B21" s="113"/>
      <c r="C21" s="69">
        <f>SUM('Stavební rozpočet'!Z12:Z89)</f>
        <v>0</v>
      </c>
      <c r="D21" s="107" t="s">
        <v>51</v>
      </c>
      <c r="E21" s="108"/>
      <c r="F21" s="70" t="s">
        <v>51</v>
      </c>
      <c r="G21" s="107" t="s">
        <v>51</v>
      </c>
      <c r="H21" s="108"/>
      <c r="I21" s="70" t="s">
        <v>51</v>
      </c>
    </row>
    <row r="22" spans="1:9" ht="16.5" customHeight="1" x14ac:dyDescent="0.25">
      <c r="A22" s="114" t="s">
        <v>346</v>
      </c>
      <c r="B22" s="110"/>
      <c r="C22" s="71">
        <f>ROUND(SUM(C14:C21),2)</f>
        <v>0</v>
      </c>
      <c r="D22" s="109" t="s">
        <v>347</v>
      </c>
      <c r="E22" s="110"/>
      <c r="F22" s="71">
        <f>SUM(F14:F21)</f>
        <v>0</v>
      </c>
      <c r="G22" s="109" t="s">
        <v>348</v>
      </c>
      <c r="H22" s="110"/>
      <c r="I22" s="71">
        <f>SUM(I14:I21)</f>
        <v>0</v>
      </c>
    </row>
    <row r="23" spans="1:9" ht="15.75" x14ac:dyDescent="0.25">
      <c r="D23" s="97" t="s">
        <v>349</v>
      </c>
      <c r="E23" s="98"/>
      <c r="F23" s="71">
        <v>0</v>
      </c>
      <c r="G23" s="111" t="s">
        <v>350</v>
      </c>
      <c r="H23" s="98"/>
      <c r="I23" s="66">
        <v>0</v>
      </c>
    </row>
    <row r="24" spans="1:9" ht="15.75" x14ac:dyDescent="0.25">
      <c r="G24" s="97" t="s">
        <v>351</v>
      </c>
      <c r="H24" s="98"/>
      <c r="I24" s="69">
        <f>vorn_sum</f>
        <v>0</v>
      </c>
    </row>
    <row r="25" spans="1:9" ht="15.75" x14ac:dyDescent="0.25">
      <c r="G25" s="97" t="s">
        <v>352</v>
      </c>
      <c r="H25" s="98"/>
      <c r="I25" s="71">
        <v>0</v>
      </c>
    </row>
    <row r="27" spans="1:9" ht="15.75" x14ac:dyDescent="0.25">
      <c r="A27" s="99" t="s">
        <v>353</v>
      </c>
      <c r="B27" s="100"/>
      <c r="C27" s="72">
        <f>ROUND(SUM('Stavební rozpočet'!AJ12:AJ89)+(F22+I22+F23+I23+I24+I25),2)</f>
        <v>0</v>
      </c>
    </row>
    <row r="28" spans="1:9" ht="15.75" x14ac:dyDescent="0.25">
      <c r="A28" s="101" t="s">
        <v>354</v>
      </c>
      <c r="B28" s="102"/>
      <c r="C28" s="73">
        <f>ROUND(SUM('Stavební rozpočet'!AK12:AK89),2)</f>
        <v>0</v>
      </c>
      <c r="D28" s="103" t="s">
        <v>355</v>
      </c>
      <c r="E28" s="100"/>
      <c r="F28" s="72">
        <f>ROUND(C28*(12/100),2)</f>
        <v>0</v>
      </c>
      <c r="G28" s="103" t="s">
        <v>356</v>
      </c>
      <c r="H28" s="100"/>
      <c r="I28" s="72">
        <f>ROUND(SUM(C27:C29),2)</f>
        <v>0</v>
      </c>
    </row>
    <row r="29" spans="1:9" ht="15.75" x14ac:dyDescent="0.25">
      <c r="A29" s="101" t="s">
        <v>357</v>
      </c>
      <c r="B29" s="102"/>
      <c r="C29" s="73">
        <f>ROUND(SUM('Stavební rozpočet'!AL12:AL89),2)</f>
        <v>0</v>
      </c>
      <c r="D29" s="104" t="s">
        <v>358</v>
      </c>
      <c r="E29" s="102"/>
      <c r="F29" s="73">
        <f>ROUND(C29*(21/100),2)</f>
        <v>0</v>
      </c>
      <c r="G29" s="104" t="s">
        <v>359</v>
      </c>
      <c r="H29" s="102"/>
      <c r="I29" s="73">
        <f>ROUND(SUM(F28:F29)+I28,2)</f>
        <v>0</v>
      </c>
    </row>
    <row r="31" spans="1:9" x14ac:dyDescent="0.25">
      <c r="A31" s="94" t="s">
        <v>360</v>
      </c>
      <c r="B31" s="86"/>
      <c r="C31" s="87"/>
      <c r="D31" s="85" t="s">
        <v>361</v>
      </c>
      <c r="E31" s="86"/>
      <c r="F31" s="87"/>
      <c r="G31" s="85" t="s">
        <v>362</v>
      </c>
      <c r="H31" s="86"/>
      <c r="I31" s="87"/>
    </row>
    <row r="32" spans="1:9" x14ac:dyDescent="0.25">
      <c r="A32" s="95" t="s">
        <v>51</v>
      </c>
      <c r="B32" s="89"/>
      <c r="C32" s="90"/>
      <c r="D32" s="88" t="s">
        <v>51</v>
      </c>
      <c r="E32" s="89"/>
      <c r="F32" s="90"/>
      <c r="G32" s="88" t="s">
        <v>51</v>
      </c>
      <c r="H32" s="89"/>
      <c r="I32" s="90"/>
    </row>
    <row r="33" spans="1:9" x14ac:dyDescent="0.25">
      <c r="A33" s="95" t="s">
        <v>51</v>
      </c>
      <c r="B33" s="89"/>
      <c r="C33" s="90"/>
      <c r="D33" s="88" t="s">
        <v>51</v>
      </c>
      <c r="E33" s="89"/>
      <c r="F33" s="90"/>
      <c r="G33" s="88" t="s">
        <v>51</v>
      </c>
      <c r="H33" s="89"/>
      <c r="I33" s="90"/>
    </row>
    <row r="34" spans="1:9" x14ac:dyDescent="0.25">
      <c r="A34" s="95" t="s">
        <v>51</v>
      </c>
      <c r="B34" s="89"/>
      <c r="C34" s="90"/>
      <c r="D34" s="88" t="s">
        <v>51</v>
      </c>
      <c r="E34" s="89"/>
      <c r="F34" s="90"/>
      <c r="G34" s="88" t="s">
        <v>51</v>
      </c>
      <c r="H34" s="89"/>
      <c r="I34" s="90"/>
    </row>
    <row r="35" spans="1:9" x14ac:dyDescent="0.25">
      <c r="A35" s="96" t="s">
        <v>363</v>
      </c>
      <c r="B35" s="92"/>
      <c r="C35" s="93"/>
      <c r="D35" s="91" t="s">
        <v>363</v>
      </c>
      <c r="E35" s="92"/>
      <c r="F35" s="93"/>
      <c r="G35" s="91" t="s">
        <v>363</v>
      </c>
      <c r="H35" s="92"/>
      <c r="I35" s="93"/>
    </row>
    <row r="36" spans="1:9" x14ac:dyDescent="0.25">
      <c r="A36" s="74" t="s">
        <v>273</v>
      </c>
    </row>
    <row r="37" spans="1:9" ht="12.75" customHeight="1" x14ac:dyDescent="0.25">
      <c r="A37" s="83" t="s">
        <v>51</v>
      </c>
      <c r="B37" s="84"/>
      <c r="C37" s="84"/>
      <c r="D37" s="84"/>
      <c r="E37" s="84"/>
      <c r="F37" s="84"/>
      <c r="G37" s="84"/>
      <c r="H37" s="84"/>
      <c r="I37" s="84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workbookViewId="0">
      <pane ySplit="11" topLeftCell="A12" activePane="bottomLeft" state="frozen"/>
      <selection pane="bottomLeft" activeCell="A33" sqref="A33:L33"/>
    </sheetView>
  </sheetViews>
  <sheetFormatPr defaultColWidth="12.140625" defaultRowHeight="15" customHeight="1" x14ac:dyDescent="0.25"/>
  <cols>
    <col min="1" max="1" width="5.7109375" customWidth="1"/>
    <col min="2" max="9" width="15.7109375" customWidth="1"/>
    <col min="10" max="12" width="14.28515625" customWidth="1"/>
    <col min="13" max="16" width="12.140625" hidden="1"/>
  </cols>
  <sheetData>
    <row r="1" spans="1:16" ht="54.75" customHeight="1" x14ac:dyDescent="0.25">
      <c r="A1" s="125" t="s">
        <v>274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6" x14ac:dyDescent="0.25">
      <c r="A2" s="126" t="s">
        <v>1</v>
      </c>
      <c r="B2" s="127"/>
      <c r="C2" s="127"/>
      <c r="D2" s="132" t="str">
        <f>'Stavební rozpočet'!C2</f>
        <v>KOLÍN, HUSOVA 112, ÚPRAVY BYT. JEDNOTKY Ć. 9</v>
      </c>
      <c r="E2" s="133"/>
      <c r="F2" s="133"/>
      <c r="G2" s="123" t="s">
        <v>3</v>
      </c>
      <c r="H2" s="123" t="str">
        <f>'Stavební rozpočet'!G2</f>
        <v xml:space="preserve"> </v>
      </c>
      <c r="I2" s="123" t="s">
        <v>5</v>
      </c>
      <c r="J2" s="123" t="str">
        <f>'Stavební rozpočet'!I2</f>
        <v>Město Kolín, Karlovo náměstí  78</v>
      </c>
      <c r="K2" s="127"/>
      <c r="L2" s="129"/>
    </row>
    <row r="3" spans="1:16" ht="15" customHeight="1" x14ac:dyDescent="0.25">
      <c r="A3" s="128"/>
      <c r="B3" s="84"/>
      <c r="C3" s="84"/>
      <c r="D3" s="134"/>
      <c r="E3" s="134"/>
      <c r="F3" s="134"/>
      <c r="G3" s="84"/>
      <c r="H3" s="84"/>
      <c r="I3" s="84"/>
      <c r="J3" s="84"/>
      <c r="K3" s="84"/>
      <c r="L3" s="130"/>
    </row>
    <row r="4" spans="1:16" x14ac:dyDescent="0.25">
      <c r="A4" s="121" t="s">
        <v>7</v>
      </c>
      <c r="B4" s="84"/>
      <c r="C4" s="84"/>
      <c r="D4" s="83" t="str">
        <f>'Stavební rozpočet'!C4</f>
        <v>Opravy a stavební úpravy byt. jednotky č.9</v>
      </c>
      <c r="E4" s="84"/>
      <c r="F4" s="84"/>
      <c r="G4" s="83" t="s">
        <v>9</v>
      </c>
      <c r="H4" s="83" t="str">
        <f>'Stavební rozpočet'!G4</f>
        <v>16.04.2025</v>
      </c>
      <c r="I4" s="83" t="s">
        <v>11</v>
      </c>
      <c r="J4" s="83" t="str">
        <f>'Stavební rozpočet'!I4</f>
        <v>Ing. M. Outlý, O-pro servis Kolín</v>
      </c>
      <c r="K4" s="84"/>
      <c r="L4" s="130"/>
    </row>
    <row r="5" spans="1:16" ht="15" customHeight="1" x14ac:dyDescent="0.25">
      <c r="A5" s="128"/>
      <c r="B5" s="84"/>
      <c r="C5" s="84"/>
      <c r="D5" s="84"/>
      <c r="E5" s="84"/>
      <c r="F5" s="84"/>
      <c r="G5" s="84"/>
      <c r="H5" s="84"/>
      <c r="I5" s="84"/>
      <c r="J5" s="84"/>
      <c r="K5" s="84"/>
      <c r="L5" s="130"/>
    </row>
    <row r="6" spans="1:16" x14ac:dyDescent="0.25">
      <c r="A6" s="121" t="s">
        <v>13</v>
      </c>
      <c r="B6" s="84"/>
      <c r="C6" s="84"/>
      <c r="D6" s="83" t="str">
        <f>'Stavební rozpočet'!C6</f>
        <v>Kolín, Husova 112</v>
      </c>
      <c r="E6" s="84"/>
      <c r="F6" s="84"/>
      <c r="G6" s="83" t="s">
        <v>15</v>
      </c>
      <c r="H6" s="83" t="str">
        <f>'Stavební rozpočet'!G6</f>
        <v xml:space="preserve"> </v>
      </c>
      <c r="I6" s="83" t="s">
        <v>16</v>
      </c>
      <c r="J6" s="83" t="str">
        <f>'Stavební rozpočet'!I6</f>
        <v> </v>
      </c>
      <c r="K6" s="84"/>
      <c r="L6" s="130"/>
    </row>
    <row r="7" spans="1:16" ht="15" customHeight="1" x14ac:dyDescent="0.25">
      <c r="A7" s="128"/>
      <c r="B7" s="84"/>
      <c r="C7" s="84"/>
      <c r="D7" s="84"/>
      <c r="E7" s="84"/>
      <c r="F7" s="84"/>
      <c r="G7" s="84"/>
      <c r="H7" s="84"/>
      <c r="I7" s="84"/>
      <c r="J7" s="84"/>
      <c r="K7" s="84"/>
      <c r="L7" s="130"/>
    </row>
    <row r="8" spans="1:16" x14ac:dyDescent="0.25">
      <c r="A8" s="121" t="s">
        <v>18</v>
      </c>
      <c r="B8" s="84"/>
      <c r="C8" s="84"/>
      <c r="D8" s="83" t="str">
        <f>'Stavební rozpočet'!C8</f>
        <v>803</v>
      </c>
      <c r="E8" s="84"/>
      <c r="F8" s="84"/>
      <c r="G8" s="83" t="s">
        <v>20</v>
      </c>
      <c r="H8" s="83" t="str">
        <f>'Stavební rozpočet'!G8</f>
        <v>16.04.2025</v>
      </c>
      <c r="I8" s="83" t="s">
        <v>21</v>
      </c>
      <c r="J8" s="83" t="str">
        <f>'Stavební rozpočet'!I8</f>
        <v> </v>
      </c>
      <c r="K8" s="84"/>
      <c r="L8" s="130"/>
    </row>
    <row r="9" spans="1:16" x14ac:dyDescent="0.25">
      <c r="A9" s="148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4"/>
    </row>
    <row r="10" spans="1:16" x14ac:dyDescent="0.25">
      <c r="A10" s="39" t="s">
        <v>4</v>
      </c>
      <c r="B10" s="145" t="s">
        <v>4</v>
      </c>
      <c r="C10" s="146"/>
      <c r="D10" s="146"/>
      <c r="E10" s="146"/>
      <c r="F10" s="146"/>
      <c r="G10" s="146"/>
      <c r="H10" s="146"/>
      <c r="I10" s="147"/>
      <c r="J10" s="139" t="s">
        <v>28</v>
      </c>
      <c r="K10" s="140"/>
      <c r="L10" s="141"/>
    </row>
    <row r="11" spans="1:16" x14ac:dyDescent="0.25">
      <c r="A11" s="40" t="s">
        <v>23</v>
      </c>
      <c r="B11" s="136" t="s">
        <v>275</v>
      </c>
      <c r="C11" s="137"/>
      <c r="D11" s="137"/>
      <c r="E11" s="137"/>
      <c r="F11" s="137"/>
      <c r="G11" s="137"/>
      <c r="H11" s="137"/>
      <c r="I11" s="138"/>
      <c r="J11" s="15" t="s">
        <v>35</v>
      </c>
      <c r="K11" s="16" t="s">
        <v>36</v>
      </c>
      <c r="L11" s="17" t="s">
        <v>37</v>
      </c>
    </row>
    <row r="12" spans="1:16" x14ac:dyDescent="0.25">
      <c r="A12" s="41" t="s">
        <v>52</v>
      </c>
      <c r="B12" s="142" t="s">
        <v>53</v>
      </c>
      <c r="C12" s="142"/>
      <c r="D12" s="142"/>
      <c r="E12" s="142"/>
      <c r="F12" s="142"/>
      <c r="G12" s="142"/>
      <c r="H12" s="142"/>
      <c r="I12" s="142"/>
      <c r="J12" s="42">
        <f>ROUND('Stavební rozpočet'!H12,2)</f>
        <v>0</v>
      </c>
      <c r="K12" s="42">
        <f>ROUND('Stavební rozpočet'!I12,2)</f>
        <v>0</v>
      </c>
      <c r="L12" s="43">
        <f>ROUND('Stavební rozpočet'!J12,2)</f>
        <v>0</v>
      </c>
      <c r="M12" s="44" t="s">
        <v>276</v>
      </c>
      <c r="N12" s="24">
        <f t="shared" ref="N12:N30" si="0">IF(M12="F",0,L12)</f>
        <v>0</v>
      </c>
      <c r="O12" s="3" t="s">
        <v>51</v>
      </c>
      <c r="P12" s="24">
        <f t="shared" ref="P12:P30" si="1">IF(M12="T",0,L12)</f>
        <v>0</v>
      </c>
    </row>
    <row r="13" spans="1:16" x14ac:dyDescent="0.25">
      <c r="A13" s="2" t="s">
        <v>75</v>
      </c>
      <c r="B13" s="84" t="s">
        <v>76</v>
      </c>
      <c r="C13" s="84"/>
      <c r="D13" s="84"/>
      <c r="E13" s="84"/>
      <c r="F13" s="84"/>
      <c r="G13" s="84"/>
      <c r="H13" s="84"/>
      <c r="I13" s="84"/>
      <c r="J13" s="24">
        <f>ROUND('Stavební rozpočet'!H20,2)</f>
        <v>0</v>
      </c>
      <c r="K13" s="24">
        <f>ROUND('Stavební rozpočet'!I20,2)</f>
        <v>0</v>
      </c>
      <c r="L13" s="45">
        <f>ROUND('Stavební rozpočet'!J20,2)</f>
        <v>0</v>
      </c>
      <c r="M13" s="44" t="s">
        <v>276</v>
      </c>
      <c r="N13" s="24">
        <f t="shared" si="0"/>
        <v>0</v>
      </c>
      <c r="O13" s="3" t="s">
        <v>51</v>
      </c>
      <c r="P13" s="24">
        <f t="shared" si="1"/>
        <v>0</v>
      </c>
    </row>
    <row r="14" spans="1:16" x14ac:dyDescent="0.25">
      <c r="A14" s="2" t="s">
        <v>92</v>
      </c>
      <c r="B14" s="84" t="s">
        <v>93</v>
      </c>
      <c r="C14" s="84"/>
      <c r="D14" s="84"/>
      <c r="E14" s="84"/>
      <c r="F14" s="84"/>
      <c r="G14" s="84"/>
      <c r="H14" s="84"/>
      <c r="I14" s="84"/>
      <c r="J14" s="24">
        <f>ROUND('Stavební rozpočet'!H26,2)</f>
        <v>0</v>
      </c>
      <c r="K14" s="24">
        <f>ROUND('Stavební rozpočet'!I26,2)</f>
        <v>0</v>
      </c>
      <c r="L14" s="45">
        <f>ROUND('Stavební rozpočet'!J26,2)</f>
        <v>0</v>
      </c>
      <c r="M14" s="44" t="s">
        <v>276</v>
      </c>
      <c r="N14" s="24">
        <f t="shared" si="0"/>
        <v>0</v>
      </c>
      <c r="O14" s="3" t="s">
        <v>51</v>
      </c>
      <c r="P14" s="24">
        <f t="shared" si="1"/>
        <v>0</v>
      </c>
    </row>
    <row r="15" spans="1:16" x14ac:dyDescent="0.25">
      <c r="A15" s="2" t="s">
        <v>99</v>
      </c>
      <c r="B15" s="84" t="s">
        <v>100</v>
      </c>
      <c r="C15" s="84"/>
      <c r="D15" s="84"/>
      <c r="E15" s="84"/>
      <c r="F15" s="84"/>
      <c r="G15" s="84"/>
      <c r="H15" s="84"/>
      <c r="I15" s="84"/>
      <c r="J15" s="24">
        <f>ROUND('Stavební rozpočet'!H29,2)</f>
        <v>0</v>
      </c>
      <c r="K15" s="24">
        <f>ROUND('Stavební rozpočet'!I29,2)</f>
        <v>0</v>
      </c>
      <c r="L15" s="45">
        <f>ROUND('Stavební rozpočet'!J29,2)</f>
        <v>0</v>
      </c>
      <c r="M15" s="44" t="s">
        <v>276</v>
      </c>
      <c r="N15" s="24">
        <f t="shared" si="0"/>
        <v>0</v>
      </c>
      <c r="O15" s="3" t="s">
        <v>51</v>
      </c>
      <c r="P15" s="24">
        <f t="shared" si="1"/>
        <v>0</v>
      </c>
    </row>
    <row r="16" spans="1:16" x14ac:dyDescent="0.25">
      <c r="A16" s="2" t="s">
        <v>111</v>
      </c>
      <c r="B16" s="84" t="s">
        <v>112</v>
      </c>
      <c r="C16" s="84"/>
      <c r="D16" s="84"/>
      <c r="E16" s="84"/>
      <c r="F16" s="84"/>
      <c r="G16" s="84"/>
      <c r="H16" s="84"/>
      <c r="I16" s="84"/>
      <c r="J16" s="24">
        <f>ROUND('Stavební rozpočet'!H34,2)</f>
        <v>0</v>
      </c>
      <c r="K16" s="24">
        <f>ROUND('Stavební rozpočet'!I34,2)</f>
        <v>0</v>
      </c>
      <c r="L16" s="45">
        <f>ROUND('Stavební rozpočet'!J34,2)</f>
        <v>0</v>
      </c>
      <c r="M16" s="44" t="s">
        <v>276</v>
      </c>
      <c r="N16" s="24">
        <f t="shared" si="0"/>
        <v>0</v>
      </c>
      <c r="O16" s="3" t="s">
        <v>51</v>
      </c>
      <c r="P16" s="24">
        <f t="shared" si="1"/>
        <v>0</v>
      </c>
    </row>
    <row r="17" spans="1:16" x14ac:dyDescent="0.25">
      <c r="A17" s="2" t="s">
        <v>120</v>
      </c>
      <c r="B17" s="84" t="s">
        <v>121</v>
      </c>
      <c r="C17" s="84"/>
      <c r="D17" s="84"/>
      <c r="E17" s="84"/>
      <c r="F17" s="84"/>
      <c r="G17" s="84"/>
      <c r="H17" s="84"/>
      <c r="I17" s="84"/>
      <c r="J17" s="24">
        <f>ROUND('Stavební rozpočet'!H37,2)</f>
        <v>0</v>
      </c>
      <c r="K17" s="24">
        <f>ROUND('Stavební rozpočet'!I37,2)</f>
        <v>0</v>
      </c>
      <c r="L17" s="45">
        <f>ROUND('Stavební rozpočet'!J37,2)</f>
        <v>0</v>
      </c>
      <c r="M17" s="44" t="s">
        <v>276</v>
      </c>
      <c r="N17" s="24">
        <f t="shared" si="0"/>
        <v>0</v>
      </c>
      <c r="O17" s="3" t="s">
        <v>51</v>
      </c>
      <c r="P17" s="24">
        <f t="shared" si="1"/>
        <v>0</v>
      </c>
    </row>
    <row r="18" spans="1:16" x14ac:dyDescent="0.25">
      <c r="A18" s="2" t="s">
        <v>131</v>
      </c>
      <c r="B18" s="84" t="s">
        <v>132</v>
      </c>
      <c r="C18" s="84"/>
      <c r="D18" s="84"/>
      <c r="E18" s="84"/>
      <c r="F18" s="84"/>
      <c r="G18" s="84"/>
      <c r="H18" s="84"/>
      <c r="I18" s="84"/>
      <c r="J18" s="24">
        <f>ROUND('Stavební rozpočet'!H41,2)</f>
        <v>0</v>
      </c>
      <c r="K18" s="24">
        <f>ROUND('Stavební rozpočet'!I41,2)</f>
        <v>0</v>
      </c>
      <c r="L18" s="45">
        <f>ROUND('Stavební rozpočet'!J41,2)</f>
        <v>0</v>
      </c>
      <c r="M18" s="44" t="s">
        <v>276</v>
      </c>
      <c r="N18" s="24">
        <f t="shared" si="0"/>
        <v>0</v>
      </c>
      <c r="O18" s="3" t="s">
        <v>51</v>
      </c>
      <c r="P18" s="24">
        <f t="shared" si="1"/>
        <v>0</v>
      </c>
    </row>
    <row r="19" spans="1:16" x14ac:dyDescent="0.25">
      <c r="A19" s="2" t="s">
        <v>140</v>
      </c>
      <c r="B19" s="84" t="s">
        <v>141</v>
      </c>
      <c r="C19" s="84"/>
      <c r="D19" s="84"/>
      <c r="E19" s="84"/>
      <c r="F19" s="84"/>
      <c r="G19" s="84"/>
      <c r="H19" s="84"/>
      <c r="I19" s="84"/>
      <c r="J19" s="24">
        <f>ROUND('Stavební rozpočet'!H44,2)</f>
        <v>0</v>
      </c>
      <c r="K19" s="24">
        <f>ROUND('Stavební rozpočet'!I44,2)</f>
        <v>0</v>
      </c>
      <c r="L19" s="45">
        <f>ROUND('Stavební rozpočet'!J44,2)</f>
        <v>0</v>
      </c>
      <c r="M19" s="44" t="s">
        <v>276</v>
      </c>
      <c r="N19" s="24">
        <f t="shared" si="0"/>
        <v>0</v>
      </c>
      <c r="O19" s="3" t="s">
        <v>51</v>
      </c>
      <c r="P19" s="24">
        <f t="shared" si="1"/>
        <v>0</v>
      </c>
    </row>
    <row r="20" spans="1:16" x14ac:dyDescent="0.25">
      <c r="A20" s="2" t="s">
        <v>147</v>
      </c>
      <c r="B20" s="84" t="s">
        <v>148</v>
      </c>
      <c r="C20" s="84"/>
      <c r="D20" s="84"/>
      <c r="E20" s="84"/>
      <c r="F20" s="84"/>
      <c r="G20" s="84"/>
      <c r="H20" s="84"/>
      <c r="I20" s="84"/>
      <c r="J20" s="24">
        <f>ROUND('Stavební rozpočet'!H46,2)</f>
        <v>0</v>
      </c>
      <c r="K20" s="24">
        <f>ROUND('Stavební rozpočet'!I46,2)</f>
        <v>0</v>
      </c>
      <c r="L20" s="45">
        <f>ROUND('Stavební rozpočet'!J46,2)</f>
        <v>0</v>
      </c>
      <c r="M20" s="44" t="s">
        <v>276</v>
      </c>
      <c r="N20" s="24">
        <f t="shared" si="0"/>
        <v>0</v>
      </c>
      <c r="O20" s="3" t="s">
        <v>51</v>
      </c>
      <c r="P20" s="24">
        <f t="shared" si="1"/>
        <v>0</v>
      </c>
    </row>
    <row r="21" spans="1:16" x14ac:dyDescent="0.25">
      <c r="A21" s="2" t="s">
        <v>169</v>
      </c>
      <c r="B21" s="84" t="s">
        <v>170</v>
      </c>
      <c r="C21" s="84"/>
      <c r="D21" s="84"/>
      <c r="E21" s="84"/>
      <c r="F21" s="84"/>
      <c r="G21" s="84"/>
      <c r="H21" s="84"/>
      <c r="I21" s="84"/>
      <c r="J21" s="24">
        <f>ROUND('Stavební rozpočet'!H53,2)</f>
        <v>0</v>
      </c>
      <c r="K21" s="24">
        <f>ROUND('Stavební rozpočet'!I53,2)</f>
        <v>0</v>
      </c>
      <c r="L21" s="45">
        <f>ROUND('Stavební rozpočet'!J53,2)</f>
        <v>0</v>
      </c>
      <c r="M21" s="44" t="s">
        <v>276</v>
      </c>
      <c r="N21" s="24">
        <f t="shared" si="0"/>
        <v>0</v>
      </c>
      <c r="O21" s="3" t="s">
        <v>51</v>
      </c>
      <c r="P21" s="24">
        <f t="shared" si="1"/>
        <v>0</v>
      </c>
    </row>
    <row r="22" spans="1:16" x14ac:dyDescent="0.25">
      <c r="A22" s="2" t="s">
        <v>184</v>
      </c>
      <c r="B22" s="84" t="s">
        <v>185</v>
      </c>
      <c r="C22" s="84"/>
      <c r="D22" s="84"/>
      <c r="E22" s="84"/>
      <c r="F22" s="84"/>
      <c r="G22" s="84"/>
      <c r="H22" s="84"/>
      <c r="I22" s="84"/>
      <c r="J22" s="24">
        <f>ROUND('Stavební rozpočet'!H58,2)</f>
        <v>0</v>
      </c>
      <c r="K22" s="24">
        <f>ROUND('Stavební rozpočet'!I58,2)</f>
        <v>0</v>
      </c>
      <c r="L22" s="45">
        <f>ROUND('Stavební rozpočet'!J58,2)</f>
        <v>0</v>
      </c>
      <c r="M22" s="44" t="s">
        <v>276</v>
      </c>
      <c r="N22" s="24">
        <f t="shared" si="0"/>
        <v>0</v>
      </c>
      <c r="O22" s="3" t="s">
        <v>51</v>
      </c>
      <c r="P22" s="24">
        <f t="shared" si="1"/>
        <v>0</v>
      </c>
    </row>
    <row r="23" spans="1:16" x14ac:dyDescent="0.25">
      <c r="A23" s="2" t="s">
        <v>194</v>
      </c>
      <c r="B23" s="84" t="s">
        <v>195</v>
      </c>
      <c r="C23" s="84"/>
      <c r="D23" s="84"/>
      <c r="E23" s="84"/>
      <c r="F23" s="84"/>
      <c r="G23" s="84"/>
      <c r="H23" s="84"/>
      <c r="I23" s="84"/>
      <c r="J23" s="24">
        <f>ROUND('Stavební rozpočet'!H61,2)</f>
        <v>0</v>
      </c>
      <c r="K23" s="24">
        <f>ROUND('Stavební rozpočet'!I61,2)</f>
        <v>0</v>
      </c>
      <c r="L23" s="45">
        <f>ROUND('Stavební rozpočet'!J61,2)</f>
        <v>0</v>
      </c>
      <c r="M23" s="44" t="s">
        <v>276</v>
      </c>
      <c r="N23" s="24">
        <f t="shared" si="0"/>
        <v>0</v>
      </c>
      <c r="O23" s="3" t="s">
        <v>51</v>
      </c>
      <c r="P23" s="24">
        <f t="shared" si="1"/>
        <v>0</v>
      </c>
    </row>
    <row r="24" spans="1:16" x14ac:dyDescent="0.25">
      <c r="A24" s="2" t="s">
        <v>204</v>
      </c>
      <c r="B24" s="84" t="s">
        <v>205</v>
      </c>
      <c r="C24" s="84"/>
      <c r="D24" s="84"/>
      <c r="E24" s="84"/>
      <c r="F24" s="84"/>
      <c r="G24" s="84"/>
      <c r="H24" s="84"/>
      <c r="I24" s="84"/>
      <c r="J24" s="24">
        <f>ROUND('Stavební rozpočet'!H65,2)</f>
        <v>0</v>
      </c>
      <c r="K24" s="24">
        <f>ROUND('Stavební rozpočet'!I65,2)</f>
        <v>0</v>
      </c>
      <c r="L24" s="45">
        <f>ROUND('Stavební rozpočet'!J65,2)</f>
        <v>0</v>
      </c>
      <c r="M24" s="44" t="s">
        <v>276</v>
      </c>
      <c r="N24" s="24">
        <f t="shared" si="0"/>
        <v>0</v>
      </c>
      <c r="O24" s="3" t="s">
        <v>51</v>
      </c>
      <c r="P24" s="24">
        <f t="shared" si="1"/>
        <v>0</v>
      </c>
    </row>
    <row r="25" spans="1:16" x14ac:dyDescent="0.25">
      <c r="A25" s="2" t="s">
        <v>218</v>
      </c>
      <c r="B25" s="84" t="s">
        <v>219</v>
      </c>
      <c r="C25" s="84"/>
      <c r="D25" s="84"/>
      <c r="E25" s="84"/>
      <c r="F25" s="84"/>
      <c r="G25" s="84"/>
      <c r="H25" s="84"/>
      <c r="I25" s="84"/>
      <c r="J25" s="24">
        <f>ROUND('Stavební rozpočet'!H70,2)</f>
        <v>0</v>
      </c>
      <c r="K25" s="24">
        <f>ROUND('Stavební rozpočet'!I70,2)</f>
        <v>0</v>
      </c>
      <c r="L25" s="45">
        <f>ROUND('Stavební rozpočet'!J70,2)</f>
        <v>0</v>
      </c>
      <c r="M25" s="44" t="s">
        <v>276</v>
      </c>
      <c r="N25" s="24">
        <f t="shared" si="0"/>
        <v>0</v>
      </c>
      <c r="O25" s="3" t="s">
        <v>51</v>
      </c>
      <c r="P25" s="24">
        <f t="shared" si="1"/>
        <v>0</v>
      </c>
    </row>
    <row r="26" spans="1:16" x14ac:dyDescent="0.25">
      <c r="A26" s="2" t="s">
        <v>227</v>
      </c>
      <c r="B26" s="84" t="s">
        <v>228</v>
      </c>
      <c r="C26" s="84"/>
      <c r="D26" s="84"/>
      <c r="E26" s="84"/>
      <c r="F26" s="84"/>
      <c r="G26" s="84"/>
      <c r="H26" s="84"/>
      <c r="I26" s="84"/>
      <c r="J26" s="24">
        <f>ROUND('Stavební rozpočet'!H74,2)</f>
        <v>0</v>
      </c>
      <c r="K26" s="24">
        <f>ROUND('Stavební rozpočet'!I74,2)</f>
        <v>0</v>
      </c>
      <c r="L26" s="45">
        <f>ROUND('Stavební rozpočet'!J74,2)</f>
        <v>0</v>
      </c>
      <c r="M26" s="44" t="s">
        <v>276</v>
      </c>
      <c r="N26" s="24">
        <f t="shared" si="0"/>
        <v>0</v>
      </c>
      <c r="O26" s="3" t="s">
        <v>51</v>
      </c>
      <c r="P26" s="24">
        <f t="shared" si="1"/>
        <v>0</v>
      </c>
    </row>
    <row r="27" spans="1:16" x14ac:dyDescent="0.25">
      <c r="A27" s="2" t="s">
        <v>234</v>
      </c>
      <c r="B27" s="84" t="s">
        <v>235</v>
      </c>
      <c r="C27" s="84"/>
      <c r="D27" s="84"/>
      <c r="E27" s="84"/>
      <c r="F27" s="84"/>
      <c r="G27" s="84"/>
      <c r="H27" s="84"/>
      <c r="I27" s="84"/>
      <c r="J27" s="24">
        <f>ROUND('Stavební rozpočet'!H76,2)</f>
        <v>0</v>
      </c>
      <c r="K27" s="24">
        <f>ROUND('Stavební rozpočet'!I76,2)</f>
        <v>0</v>
      </c>
      <c r="L27" s="45">
        <f>ROUND('Stavební rozpočet'!J76,2)</f>
        <v>0</v>
      </c>
      <c r="M27" s="44" t="s">
        <v>276</v>
      </c>
      <c r="N27" s="24">
        <f t="shared" si="0"/>
        <v>0</v>
      </c>
      <c r="O27" s="3" t="s">
        <v>51</v>
      </c>
      <c r="P27" s="24">
        <f t="shared" si="1"/>
        <v>0</v>
      </c>
    </row>
    <row r="28" spans="1:16" x14ac:dyDescent="0.25">
      <c r="A28" s="2" t="s">
        <v>243</v>
      </c>
      <c r="B28" s="84" t="s">
        <v>244</v>
      </c>
      <c r="C28" s="84"/>
      <c r="D28" s="84"/>
      <c r="E28" s="84"/>
      <c r="F28" s="84"/>
      <c r="G28" s="84"/>
      <c r="H28" s="84"/>
      <c r="I28" s="84"/>
      <c r="J28" s="24">
        <f>ROUND('Stavební rozpočet'!H79,2)</f>
        <v>0</v>
      </c>
      <c r="K28" s="24">
        <f>ROUND('Stavební rozpočet'!I79,2)</f>
        <v>0</v>
      </c>
      <c r="L28" s="45">
        <f>ROUND('Stavební rozpočet'!J79,2)</f>
        <v>0</v>
      </c>
      <c r="M28" s="44" t="s">
        <v>276</v>
      </c>
      <c r="N28" s="24">
        <f t="shared" si="0"/>
        <v>0</v>
      </c>
      <c r="O28" s="3" t="s">
        <v>51</v>
      </c>
      <c r="P28" s="24">
        <f t="shared" si="1"/>
        <v>0</v>
      </c>
    </row>
    <row r="29" spans="1:16" x14ac:dyDescent="0.25">
      <c r="A29" s="2" t="s">
        <v>250</v>
      </c>
      <c r="B29" s="84" t="s">
        <v>251</v>
      </c>
      <c r="C29" s="84"/>
      <c r="D29" s="84"/>
      <c r="E29" s="84"/>
      <c r="F29" s="84"/>
      <c r="G29" s="84"/>
      <c r="H29" s="84"/>
      <c r="I29" s="84"/>
      <c r="J29" s="24">
        <f>ROUND('Stavební rozpočet'!H81,2)</f>
        <v>0</v>
      </c>
      <c r="K29" s="24">
        <f>ROUND('Stavební rozpočet'!I81,2)</f>
        <v>0</v>
      </c>
      <c r="L29" s="45">
        <f>ROUND('Stavební rozpočet'!J81,2)</f>
        <v>0</v>
      </c>
      <c r="M29" s="44" t="s">
        <v>276</v>
      </c>
      <c r="N29" s="24">
        <f t="shared" si="0"/>
        <v>0</v>
      </c>
      <c r="O29" s="3" t="s">
        <v>51</v>
      </c>
      <c r="P29" s="24">
        <f t="shared" si="1"/>
        <v>0</v>
      </c>
    </row>
    <row r="30" spans="1:16" x14ac:dyDescent="0.25">
      <c r="A30" s="33" t="s">
        <v>256</v>
      </c>
      <c r="B30" s="120" t="s">
        <v>257</v>
      </c>
      <c r="C30" s="120"/>
      <c r="D30" s="120"/>
      <c r="E30" s="120"/>
      <c r="F30" s="120"/>
      <c r="G30" s="120"/>
      <c r="H30" s="120"/>
      <c r="I30" s="120"/>
      <c r="J30" s="35">
        <f>ROUND('Stavební rozpočet'!H84,2)</f>
        <v>0</v>
      </c>
      <c r="K30" s="35">
        <f>ROUND('Stavební rozpočet'!I84,2)</f>
        <v>0</v>
      </c>
      <c r="L30" s="46">
        <f>ROUND('Stavební rozpočet'!J84,2)</f>
        <v>0</v>
      </c>
      <c r="M30" s="44" t="s">
        <v>276</v>
      </c>
      <c r="N30" s="24">
        <f t="shared" si="0"/>
        <v>0</v>
      </c>
      <c r="O30" s="3" t="s">
        <v>51</v>
      </c>
      <c r="P30" s="24">
        <f t="shared" si="1"/>
        <v>0</v>
      </c>
    </row>
    <row r="31" spans="1:16" x14ac:dyDescent="0.25">
      <c r="J31" s="135" t="s">
        <v>272</v>
      </c>
      <c r="K31" s="135"/>
      <c r="L31" s="37">
        <f>ROUND(SUM(N12:N30),2)</f>
        <v>0</v>
      </c>
    </row>
    <row r="32" spans="1:16" x14ac:dyDescent="0.25">
      <c r="A32" s="38" t="s">
        <v>273</v>
      </c>
    </row>
    <row r="33" spans="1:12" ht="12.75" customHeight="1" x14ac:dyDescent="0.25">
      <c r="A33" s="83" t="s">
        <v>51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</row>
  </sheetData>
  <mergeCells count="49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B10:I10"/>
    <mergeCell ref="H8:H9"/>
    <mergeCell ref="I2:I3"/>
    <mergeCell ref="I4:I5"/>
    <mergeCell ref="I6:I7"/>
    <mergeCell ref="I8:I9"/>
    <mergeCell ref="B11:I11"/>
    <mergeCell ref="J10:L10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30:I30"/>
    <mergeCell ref="J31:K31"/>
    <mergeCell ref="A33:L33"/>
    <mergeCell ref="B25:I25"/>
    <mergeCell ref="B26:I26"/>
    <mergeCell ref="B27:I27"/>
    <mergeCell ref="B28:I28"/>
    <mergeCell ref="B29:I29"/>
  </mergeCells>
  <pageMargins left="0.393999993801117" right="0.393999993801117" top="0.59100002050399802" bottom="0.59100002050399802" header="0" footer="0"/>
  <pageSetup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92"/>
  <sheetViews>
    <sheetView workbookViewId="0">
      <pane ySplit="11" topLeftCell="A12" activePane="bottomLeft" state="frozen"/>
      <selection pane="bottomLeft" activeCell="A92" sqref="A92:K92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26" t="s">
        <v>1</v>
      </c>
      <c r="B2" s="127"/>
      <c r="C2" s="132" t="s">
        <v>2</v>
      </c>
      <c r="D2" s="133"/>
      <c r="E2" s="127" t="s">
        <v>3</v>
      </c>
      <c r="F2" s="127"/>
      <c r="G2" s="127" t="s">
        <v>4</v>
      </c>
      <c r="H2" s="123" t="s">
        <v>5</v>
      </c>
      <c r="I2" s="123" t="s">
        <v>6</v>
      </c>
      <c r="J2" s="127"/>
      <c r="K2" s="129"/>
    </row>
    <row r="3" spans="1:76" x14ac:dyDescent="0.25">
      <c r="A3" s="128"/>
      <c r="B3" s="84"/>
      <c r="C3" s="134"/>
      <c r="D3" s="134"/>
      <c r="E3" s="84"/>
      <c r="F3" s="84"/>
      <c r="G3" s="84"/>
      <c r="H3" s="84"/>
      <c r="I3" s="84"/>
      <c r="J3" s="84"/>
      <c r="K3" s="130"/>
    </row>
    <row r="4" spans="1:76" x14ac:dyDescent="0.25">
      <c r="A4" s="121" t="s">
        <v>7</v>
      </c>
      <c r="B4" s="84"/>
      <c r="C4" s="83" t="s">
        <v>8</v>
      </c>
      <c r="D4" s="84"/>
      <c r="E4" s="84" t="s">
        <v>9</v>
      </c>
      <c r="F4" s="84"/>
      <c r="G4" s="84" t="s">
        <v>10</v>
      </c>
      <c r="H4" s="83" t="s">
        <v>11</v>
      </c>
      <c r="I4" s="83" t="s">
        <v>12</v>
      </c>
      <c r="J4" s="84"/>
      <c r="K4" s="130"/>
    </row>
    <row r="5" spans="1:76" x14ac:dyDescent="0.25">
      <c r="A5" s="128"/>
      <c r="B5" s="84"/>
      <c r="C5" s="84"/>
      <c r="D5" s="84"/>
      <c r="E5" s="84"/>
      <c r="F5" s="84"/>
      <c r="G5" s="84"/>
      <c r="H5" s="84"/>
      <c r="I5" s="84"/>
      <c r="J5" s="84"/>
      <c r="K5" s="130"/>
    </row>
    <row r="6" spans="1:76" x14ac:dyDescent="0.25">
      <c r="A6" s="121" t="s">
        <v>13</v>
      </c>
      <c r="B6" s="84"/>
      <c r="C6" s="83" t="s">
        <v>14</v>
      </c>
      <c r="D6" s="84"/>
      <c r="E6" s="84" t="s">
        <v>15</v>
      </c>
      <c r="F6" s="84"/>
      <c r="G6" s="84" t="s">
        <v>4</v>
      </c>
      <c r="H6" s="83" t="s">
        <v>16</v>
      </c>
      <c r="I6" s="84" t="s">
        <v>17</v>
      </c>
      <c r="J6" s="84"/>
      <c r="K6" s="130"/>
    </row>
    <row r="7" spans="1:76" x14ac:dyDescent="0.25">
      <c r="A7" s="128"/>
      <c r="B7" s="84"/>
      <c r="C7" s="84"/>
      <c r="D7" s="84"/>
      <c r="E7" s="84"/>
      <c r="F7" s="84"/>
      <c r="G7" s="84"/>
      <c r="H7" s="84"/>
      <c r="I7" s="84"/>
      <c r="J7" s="84"/>
      <c r="K7" s="130"/>
    </row>
    <row r="8" spans="1:76" x14ac:dyDescent="0.25">
      <c r="A8" s="121" t="s">
        <v>18</v>
      </c>
      <c r="B8" s="84"/>
      <c r="C8" s="83" t="s">
        <v>19</v>
      </c>
      <c r="D8" s="84"/>
      <c r="E8" s="84" t="s">
        <v>20</v>
      </c>
      <c r="F8" s="84"/>
      <c r="G8" s="84" t="s">
        <v>10</v>
      </c>
      <c r="H8" s="83" t="s">
        <v>21</v>
      </c>
      <c r="I8" s="84" t="s">
        <v>17</v>
      </c>
      <c r="J8" s="84"/>
      <c r="K8" s="130"/>
    </row>
    <row r="9" spans="1:76" x14ac:dyDescent="0.25">
      <c r="A9" s="148"/>
      <c r="B9" s="143"/>
      <c r="C9" s="143"/>
      <c r="D9" s="143"/>
      <c r="E9" s="143"/>
      <c r="F9" s="143"/>
      <c r="G9" s="143"/>
      <c r="H9" s="143"/>
      <c r="I9" s="143"/>
      <c r="J9" s="143"/>
      <c r="K9" s="144"/>
    </row>
    <row r="10" spans="1:76" x14ac:dyDescent="0.25">
      <c r="A10" s="5" t="s">
        <v>22</v>
      </c>
      <c r="B10" s="6" t="s">
        <v>23</v>
      </c>
      <c r="C10" s="158" t="s">
        <v>24</v>
      </c>
      <c r="D10" s="159"/>
      <c r="E10" s="6" t="s">
        <v>25</v>
      </c>
      <c r="F10" s="7" t="s">
        <v>26</v>
      </c>
      <c r="G10" s="8" t="s">
        <v>27</v>
      </c>
      <c r="H10" s="139" t="s">
        <v>28</v>
      </c>
      <c r="I10" s="140"/>
      <c r="J10" s="141"/>
      <c r="K10" s="9" t="s">
        <v>29</v>
      </c>
      <c r="BK10" s="10" t="s">
        <v>30</v>
      </c>
      <c r="BL10" s="11" t="s">
        <v>31</v>
      </c>
      <c r="BW10" s="11" t="s">
        <v>32</v>
      </c>
    </row>
    <row r="11" spans="1:76" x14ac:dyDescent="0.25">
      <c r="A11" s="12" t="s">
        <v>4</v>
      </c>
      <c r="B11" s="13" t="s">
        <v>4</v>
      </c>
      <c r="C11" s="136" t="s">
        <v>33</v>
      </c>
      <c r="D11" s="155"/>
      <c r="E11" s="13" t="s">
        <v>4</v>
      </c>
      <c r="F11" s="13" t="s">
        <v>4</v>
      </c>
      <c r="G11" s="14" t="s">
        <v>34</v>
      </c>
      <c r="H11" s="15" t="s">
        <v>35</v>
      </c>
      <c r="I11" s="16" t="s">
        <v>36</v>
      </c>
      <c r="J11" s="17" t="s">
        <v>37</v>
      </c>
      <c r="K11" s="18" t="s">
        <v>38</v>
      </c>
      <c r="Z11" s="10" t="s">
        <v>39</v>
      </c>
      <c r="AA11" s="10" t="s">
        <v>40</v>
      </c>
      <c r="AB11" s="10" t="s">
        <v>41</v>
      </c>
      <c r="AC11" s="10" t="s">
        <v>42</v>
      </c>
      <c r="AD11" s="10" t="s">
        <v>43</v>
      </c>
      <c r="AE11" s="10" t="s">
        <v>44</v>
      </c>
      <c r="AF11" s="10" t="s">
        <v>45</v>
      </c>
      <c r="AG11" s="10" t="s">
        <v>46</v>
      </c>
      <c r="AH11" s="10" t="s">
        <v>47</v>
      </c>
      <c r="BH11" s="10" t="s">
        <v>48</v>
      </c>
      <c r="BI11" s="10" t="s">
        <v>49</v>
      </c>
      <c r="BJ11" s="10" t="s">
        <v>50</v>
      </c>
    </row>
    <row r="12" spans="1:76" x14ac:dyDescent="0.25">
      <c r="A12" s="19" t="s">
        <v>51</v>
      </c>
      <c r="B12" s="20" t="s">
        <v>52</v>
      </c>
      <c r="C12" s="156" t="s">
        <v>53</v>
      </c>
      <c r="D12" s="157"/>
      <c r="E12" s="21" t="s">
        <v>4</v>
      </c>
      <c r="F12" s="21" t="s">
        <v>4</v>
      </c>
      <c r="G12" s="21" t="s">
        <v>4</v>
      </c>
      <c r="H12" s="22">
        <f>SUM(H13:H18)</f>
        <v>0</v>
      </c>
      <c r="I12" s="22">
        <f>SUM(I13:I18)</f>
        <v>0</v>
      </c>
      <c r="J12" s="22">
        <f>SUM(J13:J18)</f>
        <v>0</v>
      </c>
      <c r="K12" s="23" t="s">
        <v>51</v>
      </c>
      <c r="AI12" s="10" t="s">
        <v>51</v>
      </c>
      <c r="AS12" s="1">
        <f>SUM(AJ13:AJ18)</f>
        <v>0</v>
      </c>
      <c r="AT12" s="1">
        <f>SUM(AK13:AK18)</f>
        <v>0</v>
      </c>
      <c r="AU12" s="1">
        <f>SUM(AL13:AL18)</f>
        <v>0</v>
      </c>
    </row>
    <row r="13" spans="1:76" ht="25.5" x14ac:dyDescent="0.25">
      <c r="A13" s="2" t="s">
        <v>54</v>
      </c>
      <c r="B13" s="3" t="s">
        <v>55</v>
      </c>
      <c r="C13" s="83" t="s">
        <v>56</v>
      </c>
      <c r="D13" s="84"/>
      <c r="E13" s="3" t="s">
        <v>57</v>
      </c>
      <c r="F13" s="24">
        <v>2.8929999999999998</v>
      </c>
      <c r="G13" s="24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58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0</v>
      </c>
      <c r="AO13" s="24">
        <f>G13*0.47433334</f>
        <v>0</v>
      </c>
      <c r="AP13" s="24">
        <f>G13*(1-0.47433334)</f>
        <v>0</v>
      </c>
      <c r="AQ13" s="26" t="s">
        <v>54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59</v>
      </c>
      <c r="AZ13" s="26" t="s">
        <v>60</v>
      </c>
      <c r="BA13" s="10" t="s">
        <v>61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34</v>
      </c>
      <c r="BW13" s="24">
        <v>0</v>
      </c>
      <c r="BX13" s="4" t="s">
        <v>56</v>
      </c>
    </row>
    <row r="14" spans="1:76" ht="25.5" x14ac:dyDescent="0.25">
      <c r="A14" s="2" t="s">
        <v>62</v>
      </c>
      <c r="B14" s="3" t="s">
        <v>63</v>
      </c>
      <c r="C14" s="83" t="s">
        <v>64</v>
      </c>
      <c r="D14" s="84"/>
      <c r="E14" s="3" t="s">
        <v>57</v>
      </c>
      <c r="F14" s="24">
        <v>8.0740999999999996</v>
      </c>
      <c r="G14" s="24">
        <v>0</v>
      </c>
      <c r="H14" s="24">
        <f>ROUND(F14*AO14,2)</f>
        <v>0</v>
      </c>
      <c r="I14" s="24">
        <f>ROUND(F14*AP14,2)</f>
        <v>0</v>
      </c>
      <c r="J14" s="24">
        <f>ROUND(F14*G14,2)</f>
        <v>0</v>
      </c>
      <c r="K14" s="25" t="s">
        <v>58</v>
      </c>
      <c r="Z14" s="24">
        <f>ROUND(IF(AQ14="5",BJ14,0),2)</f>
        <v>0</v>
      </c>
      <c r="AB14" s="24">
        <f>ROUND(IF(AQ14="1",BH14,0),2)</f>
        <v>0</v>
      </c>
      <c r="AC14" s="24">
        <f>ROUND(IF(AQ14="1",BI14,0),2)</f>
        <v>0</v>
      </c>
      <c r="AD14" s="24">
        <f>ROUND(IF(AQ14="7",BH14,0),2)</f>
        <v>0</v>
      </c>
      <c r="AE14" s="24">
        <f>ROUND(IF(AQ14="7",BI14,0),2)</f>
        <v>0</v>
      </c>
      <c r="AF14" s="24">
        <f>ROUND(IF(AQ14="2",BH14,0),2)</f>
        <v>0</v>
      </c>
      <c r="AG14" s="24">
        <f>ROUND(IF(AQ14="2",BI14,0),2)</f>
        <v>0</v>
      </c>
      <c r="AH14" s="24">
        <f>ROUND(IF(AQ14="0",BJ14,0),2)</f>
        <v>0</v>
      </c>
      <c r="AI14" s="10" t="s">
        <v>51</v>
      </c>
      <c r="AJ14" s="24">
        <f>IF(AN14=0,J14,0)</f>
        <v>0</v>
      </c>
      <c r="AK14" s="24">
        <f>IF(AN14=12,J14,0)</f>
        <v>0</v>
      </c>
      <c r="AL14" s="24">
        <f>IF(AN14=21,J14,0)</f>
        <v>0</v>
      </c>
      <c r="AN14" s="24">
        <v>0</v>
      </c>
      <c r="AO14" s="24">
        <f>G14*0.53788609</f>
        <v>0</v>
      </c>
      <c r="AP14" s="24">
        <f>G14*(1-0.53788609)</f>
        <v>0</v>
      </c>
      <c r="AQ14" s="26" t="s">
        <v>54</v>
      </c>
      <c r="AV14" s="24">
        <f>ROUND(AW14+AX14,2)</f>
        <v>0</v>
      </c>
      <c r="AW14" s="24">
        <f>ROUND(F14*AO14,2)</f>
        <v>0</v>
      </c>
      <c r="AX14" s="24">
        <f>ROUND(F14*AP14,2)</f>
        <v>0</v>
      </c>
      <c r="AY14" s="26" t="s">
        <v>59</v>
      </c>
      <c r="AZ14" s="26" t="s">
        <v>60</v>
      </c>
      <c r="BA14" s="10" t="s">
        <v>61</v>
      </c>
      <c r="BC14" s="24">
        <f>AW14+AX14</f>
        <v>0</v>
      </c>
      <c r="BD14" s="24">
        <f>G14/(100-BE14)*100</f>
        <v>0</v>
      </c>
      <c r="BE14" s="24">
        <v>0</v>
      </c>
      <c r="BF14" s="24">
        <f>14</f>
        <v>14</v>
      </c>
      <c r="BH14" s="24">
        <f>F14*AO14</f>
        <v>0</v>
      </c>
      <c r="BI14" s="24">
        <f>F14*AP14</f>
        <v>0</v>
      </c>
      <c r="BJ14" s="24">
        <f>F14*G14</f>
        <v>0</v>
      </c>
      <c r="BK14" s="24"/>
      <c r="BL14" s="24">
        <v>34</v>
      </c>
      <c r="BW14" s="24">
        <v>0</v>
      </c>
      <c r="BX14" s="4" t="s">
        <v>64</v>
      </c>
    </row>
    <row r="15" spans="1:76" ht="13.5" customHeight="1" x14ac:dyDescent="0.25">
      <c r="A15" s="27"/>
      <c r="B15" s="28" t="s">
        <v>65</v>
      </c>
      <c r="C15" s="149" t="s">
        <v>66</v>
      </c>
      <c r="D15" s="150"/>
      <c r="E15" s="150"/>
      <c r="F15" s="150"/>
      <c r="G15" s="150"/>
      <c r="H15" s="150"/>
      <c r="I15" s="150"/>
      <c r="J15" s="150"/>
      <c r="K15" s="151"/>
    </row>
    <row r="16" spans="1:76" ht="25.5" x14ac:dyDescent="0.25">
      <c r="A16" s="2" t="s">
        <v>67</v>
      </c>
      <c r="B16" s="3" t="s">
        <v>68</v>
      </c>
      <c r="C16" s="83" t="s">
        <v>69</v>
      </c>
      <c r="D16" s="84"/>
      <c r="E16" s="3" t="s">
        <v>57</v>
      </c>
      <c r="F16" s="24">
        <v>9.7573000000000008</v>
      </c>
      <c r="G16" s="24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5" t="s">
        <v>58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10" t="s">
        <v>51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0</v>
      </c>
      <c r="AO16" s="24">
        <f>G16*0.453946235</f>
        <v>0</v>
      </c>
      <c r="AP16" s="24">
        <f>G16*(1-0.453946235)</f>
        <v>0</v>
      </c>
      <c r="AQ16" s="26" t="s">
        <v>54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59</v>
      </c>
      <c r="AZ16" s="26" t="s">
        <v>60</v>
      </c>
      <c r="BA16" s="10" t="s">
        <v>61</v>
      </c>
      <c r="BC16" s="24">
        <f>AW16+AX16</f>
        <v>0</v>
      </c>
      <c r="BD16" s="24">
        <f>G16/(100-BE16)*100</f>
        <v>0</v>
      </c>
      <c r="BE16" s="24">
        <v>0</v>
      </c>
      <c r="BF16" s="24">
        <f>16</f>
        <v>16</v>
      </c>
      <c r="BH16" s="24">
        <f>F16*AO16</f>
        <v>0</v>
      </c>
      <c r="BI16" s="24">
        <f>F16*AP16</f>
        <v>0</v>
      </c>
      <c r="BJ16" s="24">
        <f>F16*G16</f>
        <v>0</v>
      </c>
      <c r="BK16" s="24"/>
      <c r="BL16" s="24">
        <v>34</v>
      </c>
      <c r="BW16" s="24">
        <v>0</v>
      </c>
      <c r="BX16" s="4" t="s">
        <v>69</v>
      </c>
    </row>
    <row r="17" spans="1:76" ht="13.5" customHeight="1" x14ac:dyDescent="0.25">
      <c r="A17" s="27"/>
      <c r="B17" s="28" t="s">
        <v>65</v>
      </c>
      <c r="C17" s="149" t="s">
        <v>70</v>
      </c>
      <c r="D17" s="150"/>
      <c r="E17" s="150"/>
      <c r="F17" s="150"/>
      <c r="G17" s="150"/>
      <c r="H17" s="150"/>
      <c r="I17" s="150"/>
      <c r="J17" s="150"/>
      <c r="K17" s="151"/>
    </row>
    <row r="18" spans="1:76" x14ac:dyDescent="0.25">
      <c r="A18" s="2" t="s">
        <v>71</v>
      </c>
      <c r="B18" s="3" t="s">
        <v>72</v>
      </c>
      <c r="C18" s="83" t="s">
        <v>73</v>
      </c>
      <c r="D18" s="84"/>
      <c r="E18" s="3" t="s">
        <v>57</v>
      </c>
      <c r="F18" s="24">
        <v>2.63</v>
      </c>
      <c r="G18" s="24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5" t="s">
        <v>58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10" t="s">
        <v>51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0</v>
      </c>
      <c r="AO18" s="24">
        <f>G18*0.628007493</f>
        <v>0</v>
      </c>
      <c r="AP18" s="24">
        <f>G18*(1-0.628007493)</f>
        <v>0</v>
      </c>
      <c r="AQ18" s="26" t="s">
        <v>54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59</v>
      </c>
      <c r="AZ18" s="26" t="s">
        <v>60</v>
      </c>
      <c r="BA18" s="10" t="s">
        <v>61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4"/>
      <c r="BL18" s="24">
        <v>34</v>
      </c>
      <c r="BW18" s="24">
        <v>0</v>
      </c>
      <c r="BX18" s="4" t="s">
        <v>73</v>
      </c>
    </row>
    <row r="19" spans="1:76" ht="13.5" customHeight="1" x14ac:dyDescent="0.25">
      <c r="A19" s="27"/>
      <c r="B19" s="28" t="s">
        <v>65</v>
      </c>
      <c r="C19" s="149" t="s">
        <v>74</v>
      </c>
      <c r="D19" s="150"/>
      <c r="E19" s="150"/>
      <c r="F19" s="150"/>
      <c r="G19" s="150"/>
      <c r="H19" s="150"/>
      <c r="I19" s="150"/>
      <c r="J19" s="150"/>
      <c r="K19" s="151"/>
    </row>
    <row r="20" spans="1:76" x14ac:dyDescent="0.25">
      <c r="A20" s="29" t="s">
        <v>51</v>
      </c>
      <c r="B20" s="30" t="s">
        <v>75</v>
      </c>
      <c r="C20" s="153" t="s">
        <v>76</v>
      </c>
      <c r="D20" s="154"/>
      <c r="E20" s="31" t="s">
        <v>4</v>
      </c>
      <c r="F20" s="31" t="s">
        <v>4</v>
      </c>
      <c r="G20" s="31" t="s">
        <v>4</v>
      </c>
      <c r="H20" s="1">
        <f>SUM(H21:H25)</f>
        <v>0</v>
      </c>
      <c r="I20" s="1">
        <f>SUM(I21:I25)</f>
        <v>0</v>
      </c>
      <c r="J20" s="1">
        <f>SUM(J21:J25)</f>
        <v>0</v>
      </c>
      <c r="K20" s="32" t="s">
        <v>51</v>
      </c>
      <c r="AI20" s="10" t="s">
        <v>51</v>
      </c>
      <c r="AS20" s="1">
        <f>SUM(AJ21:AJ25)</f>
        <v>0</v>
      </c>
      <c r="AT20" s="1">
        <f>SUM(AK21:AK25)</f>
        <v>0</v>
      </c>
      <c r="AU20" s="1">
        <f>SUM(AL21:AL25)</f>
        <v>0</v>
      </c>
    </row>
    <row r="21" spans="1:76" x14ac:dyDescent="0.25">
      <c r="A21" s="2" t="s">
        <v>77</v>
      </c>
      <c r="B21" s="3" t="s">
        <v>78</v>
      </c>
      <c r="C21" s="83" t="s">
        <v>79</v>
      </c>
      <c r="D21" s="84"/>
      <c r="E21" s="3" t="s">
        <v>57</v>
      </c>
      <c r="F21" s="24">
        <v>51.7</v>
      </c>
      <c r="G21" s="24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58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51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0</v>
      </c>
      <c r="AO21" s="24">
        <f>G21*0.135007814</f>
        <v>0</v>
      </c>
      <c r="AP21" s="24">
        <f>G21*(1-0.135007814)</f>
        <v>0</v>
      </c>
      <c r="AQ21" s="26" t="s">
        <v>54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80</v>
      </c>
      <c r="AZ21" s="26" t="s">
        <v>81</v>
      </c>
      <c r="BA21" s="10" t="s">
        <v>61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4"/>
      <c r="BL21" s="24">
        <v>61</v>
      </c>
      <c r="BW21" s="24">
        <v>0</v>
      </c>
      <c r="BX21" s="4" t="s">
        <v>79</v>
      </c>
    </row>
    <row r="22" spans="1:76" x14ac:dyDescent="0.25">
      <c r="A22" s="2" t="s">
        <v>82</v>
      </c>
      <c r="B22" s="3" t="s">
        <v>83</v>
      </c>
      <c r="C22" s="83" t="s">
        <v>84</v>
      </c>
      <c r="D22" s="84"/>
      <c r="E22" s="3" t="s">
        <v>57</v>
      </c>
      <c r="F22" s="24">
        <v>143</v>
      </c>
      <c r="G22" s="24">
        <v>0</v>
      </c>
      <c r="H22" s="24">
        <f>ROUND(F22*AO22,2)</f>
        <v>0</v>
      </c>
      <c r="I22" s="24">
        <f>ROUND(F22*AP22,2)</f>
        <v>0</v>
      </c>
      <c r="J22" s="24">
        <f>ROUND(F22*G22,2)</f>
        <v>0</v>
      </c>
      <c r="K22" s="25" t="s">
        <v>58</v>
      </c>
      <c r="Z22" s="24">
        <f>ROUND(IF(AQ22="5",BJ22,0),2)</f>
        <v>0</v>
      </c>
      <c r="AB22" s="24">
        <f>ROUND(IF(AQ22="1",BH22,0),2)</f>
        <v>0</v>
      </c>
      <c r="AC22" s="24">
        <f>ROUND(IF(AQ22="1",BI22,0),2)</f>
        <v>0</v>
      </c>
      <c r="AD22" s="24">
        <f>ROUND(IF(AQ22="7",BH22,0),2)</f>
        <v>0</v>
      </c>
      <c r="AE22" s="24">
        <f>ROUND(IF(AQ22="7",BI22,0),2)</f>
        <v>0</v>
      </c>
      <c r="AF22" s="24">
        <f>ROUND(IF(AQ22="2",BH22,0),2)</f>
        <v>0</v>
      </c>
      <c r="AG22" s="24">
        <f>ROUND(IF(AQ22="2",BI22,0),2)</f>
        <v>0</v>
      </c>
      <c r="AH22" s="24">
        <f>ROUND(IF(AQ22="0",BJ22,0),2)</f>
        <v>0</v>
      </c>
      <c r="AI22" s="10" t="s">
        <v>51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0</v>
      </c>
      <c r="AO22" s="24">
        <f>G22*0.350010386</f>
        <v>0</v>
      </c>
      <c r="AP22" s="24">
        <f>G22*(1-0.350010386)</f>
        <v>0</v>
      </c>
      <c r="AQ22" s="26" t="s">
        <v>54</v>
      </c>
      <c r="AV22" s="24">
        <f>ROUND(AW22+AX22,2)</f>
        <v>0</v>
      </c>
      <c r="AW22" s="24">
        <f>ROUND(F22*AO22,2)</f>
        <v>0</v>
      </c>
      <c r="AX22" s="24">
        <f>ROUND(F22*AP22,2)</f>
        <v>0</v>
      </c>
      <c r="AY22" s="26" t="s">
        <v>80</v>
      </c>
      <c r="AZ22" s="26" t="s">
        <v>81</v>
      </c>
      <c r="BA22" s="10" t="s">
        <v>61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4"/>
      <c r="BL22" s="24">
        <v>61</v>
      </c>
      <c r="BW22" s="24">
        <v>0</v>
      </c>
      <c r="BX22" s="4" t="s">
        <v>84</v>
      </c>
    </row>
    <row r="23" spans="1:76" x14ac:dyDescent="0.25">
      <c r="A23" s="2" t="s">
        <v>85</v>
      </c>
      <c r="B23" s="3" t="s">
        <v>86</v>
      </c>
      <c r="C23" s="83" t="s">
        <v>87</v>
      </c>
      <c r="D23" s="84"/>
      <c r="E23" s="3" t="s">
        <v>57</v>
      </c>
      <c r="F23" s="24">
        <v>143</v>
      </c>
      <c r="G23" s="24">
        <v>0</v>
      </c>
      <c r="H23" s="24">
        <f>ROUND(F23*AO23,2)</f>
        <v>0</v>
      </c>
      <c r="I23" s="24">
        <f>ROUND(F23*AP23,2)</f>
        <v>0</v>
      </c>
      <c r="J23" s="24">
        <f>ROUND(F23*G23,2)</f>
        <v>0</v>
      </c>
      <c r="K23" s="25" t="s">
        <v>58</v>
      </c>
      <c r="Z23" s="24">
        <f>ROUND(IF(AQ23="5",BJ23,0),2)</f>
        <v>0</v>
      </c>
      <c r="AB23" s="24">
        <f>ROUND(IF(AQ23="1",BH23,0),2)</f>
        <v>0</v>
      </c>
      <c r="AC23" s="24">
        <f>ROUND(IF(AQ23="1",BI23,0),2)</f>
        <v>0</v>
      </c>
      <c r="AD23" s="24">
        <f>ROUND(IF(AQ23="7",BH23,0),2)</f>
        <v>0</v>
      </c>
      <c r="AE23" s="24">
        <f>ROUND(IF(AQ23="7",BI23,0),2)</f>
        <v>0</v>
      </c>
      <c r="AF23" s="24">
        <f>ROUND(IF(AQ23="2",BH23,0),2)</f>
        <v>0</v>
      </c>
      <c r="AG23" s="24">
        <f>ROUND(IF(AQ23="2",BI23,0),2)</f>
        <v>0</v>
      </c>
      <c r="AH23" s="24">
        <f>ROUND(IF(AQ23="0",BJ23,0),2)</f>
        <v>0</v>
      </c>
      <c r="AI23" s="10" t="s">
        <v>51</v>
      </c>
      <c r="AJ23" s="24">
        <f>IF(AN23=0,J23,0)</f>
        <v>0</v>
      </c>
      <c r="AK23" s="24">
        <f>IF(AN23=12,J23,0)</f>
        <v>0</v>
      </c>
      <c r="AL23" s="24">
        <f>IF(AN23=21,J23,0)</f>
        <v>0</v>
      </c>
      <c r="AN23" s="24">
        <v>0</v>
      </c>
      <c r="AO23" s="24">
        <f>G23*0.296193029</f>
        <v>0</v>
      </c>
      <c r="AP23" s="24">
        <f>G23*(1-0.296193029)</f>
        <v>0</v>
      </c>
      <c r="AQ23" s="26" t="s">
        <v>54</v>
      </c>
      <c r="AV23" s="24">
        <f>ROUND(AW23+AX23,2)</f>
        <v>0</v>
      </c>
      <c r="AW23" s="24">
        <f>ROUND(F23*AO23,2)</f>
        <v>0</v>
      </c>
      <c r="AX23" s="24">
        <f>ROUND(F23*AP23,2)</f>
        <v>0</v>
      </c>
      <c r="AY23" s="26" t="s">
        <v>80</v>
      </c>
      <c r="AZ23" s="26" t="s">
        <v>81</v>
      </c>
      <c r="BA23" s="10" t="s">
        <v>61</v>
      </c>
      <c r="BC23" s="24">
        <f>AW23+AX23</f>
        <v>0</v>
      </c>
      <c r="BD23" s="24">
        <f>G23/(100-BE23)*100</f>
        <v>0</v>
      </c>
      <c r="BE23" s="24">
        <v>0</v>
      </c>
      <c r="BF23" s="24">
        <f>23</f>
        <v>23</v>
      </c>
      <c r="BH23" s="24">
        <f>F23*AO23</f>
        <v>0</v>
      </c>
      <c r="BI23" s="24">
        <f>F23*AP23</f>
        <v>0</v>
      </c>
      <c r="BJ23" s="24">
        <f>F23*G23</f>
        <v>0</v>
      </c>
      <c r="BK23" s="24"/>
      <c r="BL23" s="24">
        <v>61</v>
      </c>
      <c r="BW23" s="24">
        <v>0</v>
      </c>
      <c r="BX23" s="4" t="s">
        <v>87</v>
      </c>
    </row>
    <row r="24" spans="1:76" ht="13.5" customHeight="1" x14ac:dyDescent="0.25">
      <c r="A24" s="27"/>
      <c r="B24" s="28" t="s">
        <v>65</v>
      </c>
      <c r="C24" s="149" t="s">
        <v>88</v>
      </c>
      <c r="D24" s="150"/>
      <c r="E24" s="150"/>
      <c r="F24" s="150"/>
      <c r="G24" s="150"/>
      <c r="H24" s="150"/>
      <c r="I24" s="150"/>
      <c r="J24" s="150"/>
      <c r="K24" s="151"/>
    </row>
    <row r="25" spans="1:76" x14ac:dyDescent="0.25">
      <c r="A25" s="2" t="s">
        <v>89</v>
      </c>
      <c r="B25" s="3" t="s">
        <v>90</v>
      </c>
      <c r="C25" s="83" t="s">
        <v>91</v>
      </c>
      <c r="D25" s="84"/>
      <c r="E25" s="3" t="s">
        <v>57</v>
      </c>
      <c r="F25" s="24">
        <v>143.012</v>
      </c>
      <c r="G25" s="24">
        <v>0</v>
      </c>
      <c r="H25" s="24">
        <f>ROUND(F25*AO25,2)</f>
        <v>0</v>
      </c>
      <c r="I25" s="24">
        <f>ROUND(F25*AP25,2)</f>
        <v>0</v>
      </c>
      <c r="J25" s="24">
        <f>ROUND(F25*G25,2)</f>
        <v>0</v>
      </c>
      <c r="K25" s="25" t="s">
        <v>58</v>
      </c>
      <c r="Z25" s="24">
        <f>ROUND(IF(AQ25="5",BJ25,0),2)</f>
        <v>0</v>
      </c>
      <c r="AB25" s="24">
        <f>ROUND(IF(AQ25="1",BH25,0),2)</f>
        <v>0</v>
      </c>
      <c r="AC25" s="24">
        <f>ROUND(IF(AQ25="1",BI25,0),2)</f>
        <v>0</v>
      </c>
      <c r="AD25" s="24">
        <f>ROUND(IF(AQ25="7",BH25,0),2)</f>
        <v>0</v>
      </c>
      <c r="AE25" s="24">
        <f>ROUND(IF(AQ25="7",BI25,0),2)</f>
        <v>0</v>
      </c>
      <c r="AF25" s="24">
        <f>ROUND(IF(AQ25="2",BH25,0),2)</f>
        <v>0</v>
      </c>
      <c r="AG25" s="24">
        <f>ROUND(IF(AQ25="2",BI25,0),2)</f>
        <v>0</v>
      </c>
      <c r="AH25" s="24">
        <f>ROUND(IF(AQ25="0",BJ25,0),2)</f>
        <v>0</v>
      </c>
      <c r="AI25" s="10" t="s">
        <v>51</v>
      </c>
      <c r="AJ25" s="24">
        <f>IF(AN25=0,J25,0)</f>
        <v>0</v>
      </c>
      <c r="AK25" s="24">
        <f>IF(AN25=12,J25,0)</f>
        <v>0</v>
      </c>
      <c r="AL25" s="24">
        <f>IF(AN25=21,J25,0)</f>
        <v>0</v>
      </c>
      <c r="AN25" s="24">
        <v>0</v>
      </c>
      <c r="AO25" s="24">
        <f>G25*0.05603133</f>
        <v>0</v>
      </c>
      <c r="AP25" s="24">
        <f>G25*(1-0.05603133)</f>
        <v>0</v>
      </c>
      <c r="AQ25" s="26" t="s">
        <v>54</v>
      </c>
      <c r="AV25" s="24">
        <f>ROUND(AW25+AX25,2)</f>
        <v>0</v>
      </c>
      <c r="AW25" s="24">
        <f>ROUND(F25*AO25,2)</f>
        <v>0</v>
      </c>
      <c r="AX25" s="24">
        <f>ROUND(F25*AP25,2)</f>
        <v>0</v>
      </c>
      <c r="AY25" s="26" t="s">
        <v>80</v>
      </c>
      <c r="AZ25" s="26" t="s">
        <v>81</v>
      </c>
      <c r="BA25" s="10" t="s">
        <v>61</v>
      </c>
      <c r="BC25" s="24">
        <f>AW25+AX25</f>
        <v>0</v>
      </c>
      <c r="BD25" s="24">
        <f>G25/(100-BE25)*100</f>
        <v>0</v>
      </c>
      <c r="BE25" s="24">
        <v>0</v>
      </c>
      <c r="BF25" s="24">
        <f>25</f>
        <v>25</v>
      </c>
      <c r="BH25" s="24">
        <f>F25*AO25</f>
        <v>0</v>
      </c>
      <c r="BI25" s="24">
        <f>F25*AP25</f>
        <v>0</v>
      </c>
      <c r="BJ25" s="24">
        <f>F25*G25</f>
        <v>0</v>
      </c>
      <c r="BK25" s="24"/>
      <c r="BL25" s="24">
        <v>61</v>
      </c>
      <c r="BW25" s="24">
        <v>0</v>
      </c>
      <c r="BX25" s="4" t="s">
        <v>91</v>
      </c>
    </row>
    <row r="26" spans="1:76" x14ac:dyDescent="0.25">
      <c r="A26" s="29" t="s">
        <v>51</v>
      </c>
      <c r="B26" s="30" t="s">
        <v>92</v>
      </c>
      <c r="C26" s="153" t="s">
        <v>93</v>
      </c>
      <c r="D26" s="154"/>
      <c r="E26" s="31" t="s">
        <v>4</v>
      </c>
      <c r="F26" s="31" t="s">
        <v>4</v>
      </c>
      <c r="G26" s="31" t="s">
        <v>4</v>
      </c>
      <c r="H26" s="1">
        <f>SUM(H27:H27)</f>
        <v>0</v>
      </c>
      <c r="I26" s="1">
        <f>SUM(I27:I27)</f>
        <v>0</v>
      </c>
      <c r="J26" s="1">
        <f>SUM(J27:J27)</f>
        <v>0</v>
      </c>
      <c r="K26" s="32" t="s">
        <v>51</v>
      </c>
      <c r="AI26" s="10" t="s">
        <v>51</v>
      </c>
      <c r="AS26" s="1">
        <f>SUM(AJ27:AJ27)</f>
        <v>0</v>
      </c>
      <c r="AT26" s="1">
        <f>SUM(AK27:AK27)</f>
        <v>0</v>
      </c>
      <c r="AU26" s="1">
        <f>SUM(AL27:AL27)</f>
        <v>0</v>
      </c>
    </row>
    <row r="27" spans="1:76" x14ac:dyDescent="0.25">
      <c r="A27" s="2" t="s">
        <v>94</v>
      </c>
      <c r="B27" s="3" t="s">
        <v>95</v>
      </c>
      <c r="C27" s="83" t="s">
        <v>96</v>
      </c>
      <c r="D27" s="84"/>
      <c r="E27" s="3" t="s">
        <v>57</v>
      </c>
      <c r="F27" s="24">
        <v>51.7</v>
      </c>
      <c r="G27" s="24">
        <v>0</v>
      </c>
      <c r="H27" s="24">
        <f>ROUND(F27*AO27,2)</f>
        <v>0</v>
      </c>
      <c r="I27" s="24">
        <f>ROUND(F27*AP27,2)</f>
        <v>0</v>
      </c>
      <c r="J27" s="24">
        <f>ROUND(F27*G27,2)</f>
        <v>0</v>
      </c>
      <c r="K27" s="25" t="s">
        <v>58</v>
      </c>
      <c r="Z27" s="24">
        <f>ROUND(IF(AQ27="5",BJ27,0),2)</f>
        <v>0</v>
      </c>
      <c r="AB27" s="24">
        <f>ROUND(IF(AQ27="1",BH27,0),2)</f>
        <v>0</v>
      </c>
      <c r="AC27" s="24">
        <f>ROUND(IF(AQ27="1",BI27,0),2)</f>
        <v>0</v>
      </c>
      <c r="AD27" s="24">
        <f>ROUND(IF(AQ27="7",BH27,0),2)</f>
        <v>0</v>
      </c>
      <c r="AE27" s="24">
        <f>ROUND(IF(AQ27="7",BI27,0),2)</f>
        <v>0</v>
      </c>
      <c r="AF27" s="24">
        <f>ROUND(IF(AQ27="2",BH27,0),2)</f>
        <v>0</v>
      </c>
      <c r="AG27" s="24">
        <f>ROUND(IF(AQ27="2",BI27,0),2)</f>
        <v>0</v>
      </c>
      <c r="AH27" s="24">
        <f>ROUND(IF(AQ27="0",BJ27,0),2)</f>
        <v>0</v>
      </c>
      <c r="AI27" s="10" t="s">
        <v>51</v>
      </c>
      <c r="AJ27" s="24">
        <f>IF(AN27=0,J27,0)</f>
        <v>0</v>
      </c>
      <c r="AK27" s="24">
        <f>IF(AN27=12,J27,0)</f>
        <v>0</v>
      </c>
      <c r="AL27" s="24">
        <f>IF(AN27=21,J27,0)</f>
        <v>0</v>
      </c>
      <c r="AN27" s="24">
        <v>0</v>
      </c>
      <c r="AO27" s="24">
        <f>G27*0.618558952</f>
        <v>0</v>
      </c>
      <c r="AP27" s="24">
        <f>G27*(1-0.618558952)</f>
        <v>0</v>
      </c>
      <c r="AQ27" s="26" t="s">
        <v>54</v>
      </c>
      <c r="AV27" s="24">
        <f>ROUND(AW27+AX27,2)</f>
        <v>0</v>
      </c>
      <c r="AW27" s="24">
        <f>ROUND(F27*AO27,2)</f>
        <v>0</v>
      </c>
      <c r="AX27" s="24">
        <f>ROUND(F27*AP27,2)</f>
        <v>0</v>
      </c>
      <c r="AY27" s="26" t="s">
        <v>97</v>
      </c>
      <c r="AZ27" s="26" t="s">
        <v>81</v>
      </c>
      <c r="BA27" s="10" t="s">
        <v>61</v>
      </c>
      <c r="BC27" s="24">
        <f>AW27+AX27</f>
        <v>0</v>
      </c>
      <c r="BD27" s="24">
        <f>G27/(100-BE27)*100</f>
        <v>0</v>
      </c>
      <c r="BE27" s="24">
        <v>0</v>
      </c>
      <c r="BF27" s="24">
        <f>27</f>
        <v>27</v>
      </c>
      <c r="BH27" s="24">
        <f>F27*AO27</f>
        <v>0</v>
      </c>
      <c r="BI27" s="24">
        <f>F27*AP27</f>
        <v>0</v>
      </c>
      <c r="BJ27" s="24">
        <f>F27*G27</f>
        <v>0</v>
      </c>
      <c r="BK27" s="24"/>
      <c r="BL27" s="24">
        <v>63</v>
      </c>
      <c r="BW27" s="24">
        <v>0</v>
      </c>
      <c r="BX27" s="4" t="s">
        <v>96</v>
      </c>
    </row>
    <row r="28" spans="1:76" ht="13.5" customHeight="1" x14ac:dyDescent="0.25">
      <c r="A28" s="27"/>
      <c r="B28" s="28" t="s">
        <v>65</v>
      </c>
      <c r="C28" s="149" t="s">
        <v>98</v>
      </c>
      <c r="D28" s="150"/>
      <c r="E28" s="150"/>
      <c r="F28" s="150"/>
      <c r="G28" s="150"/>
      <c r="H28" s="150"/>
      <c r="I28" s="150"/>
      <c r="J28" s="150"/>
      <c r="K28" s="151"/>
    </row>
    <row r="29" spans="1:76" x14ac:dyDescent="0.25">
      <c r="A29" s="29" t="s">
        <v>51</v>
      </c>
      <c r="B29" s="30" t="s">
        <v>99</v>
      </c>
      <c r="C29" s="153" t="s">
        <v>100</v>
      </c>
      <c r="D29" s="154"/>
      <c r="E29" s="31" t="s">
        <v>4</v>
      </c>
      <c r="F29" s="31" t="s">
        <v>4</v>
      </c>
      <c r="G29" s="31" t="s">
        <v>4</v>
      </c>
      <c r="H29" s="1">
        <f>SUM(H30:H32)</f>
        <v>0</v>
      </c>
      <c r="I29" s="1">
        <f>SUM(I30:I32)</f>
        <v>0</v>
      </c>
      <c r="J29" s="1">
        <f>SUM(J30:J32)</f>
        <v>0</v>
      </c>
      <c r="K29" s="32" t="s">
        <v>51</v>
      </c>
      <c r="AI29" s="10" t="s">
        <v>51</v>
      </c>
      <c r="AS29" s="1">
        <f>SUM(AJ30:AJ32)</f>
        <v>0</v>
      </c>
      <c r="AT29" s="1">
        <f>SUM(AK30:AK32)</f>
        <v>0</v>
      </c>
      <c r="AU29" s="1">
        <f>SUM(AL30:AL32)</f>
        <v>0</v>
      </c>
    </row>
    <row r="30" spans="1:76" x14ac:dyDescent="0.25">
      <c r="A30" s="2" t="s">
        <v>101</v>
      </c>
      <c r="B30" s="3" t="s">
        <v>102</v>
      </c>
      <c r="C30" s="83" t="s">
        <v>103</v>
      </c>
      <c r="D30" s="84"/>
      <c r="E30" s="3" t="s">
        <v>104</v>
      </c>
      <c r="F30" s="24">
        <v>1</v>
      </c>
      <c r="G30" s="24">
        <v>0</v>
      </c>
      <c r="H30" s="24">
        <f>ROUND(F30*AO30,2)</f>
        <v>0</v>
      </c>
      <c r="I30" s="24">
        <f>ROUND(F30*AP30,2)</f>
        <v>0</v>
      </c>
      <c r="J30" s="24">
        <f>ROUND(F30*G30,2)</f>
        <v>0</v>
      </c>
      <c r="K30" s="25" t="s">
        <v>58</v>
      </c>
      <c r="Z30" s="24">
        <f>ROUND(IF(AQ30="5",BJ30,0),2)</f>
        <v>0</v>
      </c>
      <c r="AB30" s="24">
        <f>ROUND(IF(AQ30="1",BH30,0),2)</f>
        <v>0</v>
      </c>
      <c r="AC30" s="24">
        <f>ROUND(IF(AQ30="1",BI30,0),2)</f>
        <v>0</v>
      </c>
      <c r="AD30" s="24">
        <f>ROUND(IF(AQ30="7",BH30,0),2)</f>
        <v>0</v>
      </c>
      <c r="AE30" s="24">
        <f>ROUND(IF(AQ30="7",BI30,0),2)</f>
        <v>0</v>
      </c>
      <c r="AF30" s="24">
        <f>ROUND(IF(AQ30="2",BH30,0),2)</f>
        <v>0</v>
      </c>
      <c r="AG30" s="24">
        <f>ROUND(IF(AQ30="2",BI30,0),2)</f>
        <v>0</v>
      </c>
      <c r="AH30" s="24">
        <f>ROUND(IF(AQ30="0",BJ30,0),2)</f>
        <v>0</v>
      </c>
      <c r="AI30" s="10" t="s">
        <v>51</v>
      </c>
      <c r="AJ30" s="24">
        <f>IF(AN30=0,J30,0)</f>
        <v>0</v>
      </c>
      <c r="AK30" s="24">
        <f>IF(AN30=12,J30,0)</f>
        <v>0</v>
      </c>
      <c r="AL30" s="24">
        <f>IF(AN30=21,J30,0)</f>
        <v>0</v>
      </c>
      <c r="AN30" s="24">
        <v>0</v>
      </c>
      <c r="AO30" s="24">
        <f>G30*0.887721828</f>
        <v>0</v>
      </c>
      <c r="AP30" s="24">
        <f>G30*(1-0.887721828)</f>
        <v>0</v>
      </c>
      <c r="AQ30" s="26" t="s">
        <v>54</v>
      </c>
      <c r="AV30" s="24">
        <f>ROUND(AW30+AX30,2)</f>
        <v>0</v>
      </c>
      <c r="AW30" s="24">
        <f>ROUND(F30*AO30,2)</f>
        <v>0</v>
      </c>
      <c r="AX30" s="24">
        <f>ROUND(F30*AP30,2)</f>
        <v>0</v>
      </c>
      <c r="AY30" s="26" t="s">
        <v>105</v>
      </c>
      <c r="AZ30" s="26" t="s">
        <v>81</v>
      </c>
      <c r="BA30" s="10" t="s">
        <v>61</v>
      </c>
      <c r="BC30" s="24">
        <f>AW30+AX30</f>
        <v>0</v>
      </c>
      <c r="BD30" s="24">
        <f>G30/(100-BE30)*100</f>
        <v>0</v>
      </c>
      <c r="BE30" s="24">
        <v>0</v>
      </c>
      <c r="BF30" s="24">
        <f>30</f>
        <v>30</v>
      </c>
      <c r="BH30" s="24">
        <f>F30*AO30</f>
        <v>0</v>
      </c>
      <c r="BI30" s="24">
        <f>F30*AP30</f>
        <v>0</v>
      </c>
      <c r="BJ30" s="24">
        <f>F30*G30</f>
        <v>0</v>
      </c>
      <c r="BK30" s="24"/>
      <c r="BL30" s="24">
        <v>64</v>
      </c>
      <c r="BW30" s="24">
        <v>0</v>
      </c>
      <c r="BX30" s="4" t="s">
        <v>103</v>
      </c>
    </row>
    <row r="31" spans="1:76" ht="13.5" customHeight="1" x14ac:dyDescent="0.25">
      <c r="A31" s="27"/>
      <c r="B31" s="28" t="s">
        <v>65</v>
      </c>
      <c r="C31" s="149" t="s">
        <v>106</v>
      </c>
      <c r="D31" s="150"/>
      <c r="E31" s="150"/>
      <c r="F31" s="150"/>
      <c r="G31" s="150"/>
      <c r="H31" s="150"/>
      <c r="I31" s="150"/>
      <c r="J31" s="150"/>
      <c r="K31" s="151"/>
    </row>
    <row r="32" spans="1:76" x14ac:dyDescent="0.25">
      <c r="A32" s="2" t="s">
        <v>107</v>
      </c>
      <c r="B32" s="3" t="s">
        <v>108</v>
      </c>
      <c r="C32" s="83" t="s">
        <v>109</v>
      </c>
      <c r="D32" s="84"/>
      <c r="E32" s="3" t="s">
        <v>104</v>
      </c>
      <c r="F32" s="24">
        <v>6</v>
      </c>
      <c r="G32" s="24">
        <v>0</v>
      </c>
      <c r="H32" s="24">
        <f>ROUND(F32*AO32,2)</f>
        <v>0</v>
      </c>
      <c r="I32" s="24">
        <f>ROUND(F32*AP32,2)</f>
        <v>0</v>
      </c>
      <c r="J32" s="24">
        <f>ROUND(F32*G32,2)</f>
        <v>0</v>
      </c>
      <c r="K32" s="25" t="s">
        <v>58</v>
      </c>
      <c r="Z32" s="24">
        <f>ROUND(IF(AQ32="5",BJ32,0),2)</f>
        <v>0</v>
      </c>
      <c r="AB32" s="24">
        <f>ROUND(IF(AQ32="1",BH32,0),2)</f>
        <v>0</v>
      </c>
      <c r="AC32" s="24">
        <f>ROUND(IF(AQ32="1",BI32,0),2)</f>
        <v>0</v>
      </c>
      <c r="AD32" s="24">
        <f>ROUND(IF(AQ32="7",BH32,0),2)</f>
        <v>0</v>
      </c>
      <c r="AE32" s="24">
        <f>ROUND(IF(AQ32="7",BI32,0),2)</f>
        <v>0</v>
      </c>
      <c r="AF32" s="24">
        <f>ROUND(IF(AQ32="2",BH32,0),2)</f>
        <v>0</v>
      </c>
      <c r="AG32" s="24">
        <f>ROUND(IF(AQ32="2",BI32,0),2)</f>
        <v>0</v>
      </c>
      <c r="AH32" s="24">
        <f>ROUND(IF(AQ32="0",BJ32,0),2)</f>
        <v>0</v>
      </c>
      <c r="AI32" s="10" t="s">
        <v>51</v>
      </c>
      <c r="AJ32" s="24">
        <f>IF(AN32=0,J32,0)</f>
        <v>0</v>
      </c>
      <c r="AK32" s="24">
        <f>IF(AN32=12,J32,0)</f>
        <v>0</v>
      </c>
      <c r="AL32" s="24">
        <f>IF(AN32=21,J32,0)</f>
        <v>0</v>
      </c>
      <c r="AN32" s="24">
        <v>0</v>
      </c>
      <c r="AO32" s="24">
        <f>G32*0.585605641</f>
        <v>0</v>
      </c>
      <c r="AP32" s="24">
        <f>G32*(1-0.585605641)</f>
        <v>0</v>
      </c>
      <c r="AQ32" s="26" t="s">
        <v>54</v>
      </c>
      <c r="AV32" s="24">
        <f>ROUND(AW32+AX32,2)</f>
        <v>0</v>
      </c>
      <c r="AW32" s="24">
        <f>ROUND(F32*AO32,2)</f>
        <v>0</v>
      </c>
      <c r="AX32" s="24">
        <f>ROUND(F32*AP32,2)</f>
        <v>0</v>
      </c>
      <c r="AY32" s="26" t="s">
        <v>105</v>
      </c>
      <c r="AZ32" s="26" t="s">
        <v>81</v>
      </c>
      <c r="BA32" s="10" t="s">
        <v>61</v>
      </c>
      <c r="BC32" s="24">
        <f>AW32+AX32</f>
        <v>0</v>
      </c>
      <c r="BD32" s="24">
        <f>G32/(100-BE32)*100</f>
        <v>0</v>
      </c>
      <c r="BE32" s="24">
        <v>0</v>
      </c>
      <c r="BF32" s="24">
        <f>32</f>
        <v>32</v>
      </c>
      <c r="BH32" s="24">
        <f>F32*AO32</f>
        <v>0</v>
      </c>
      <c r="BI32" s="24">
        <f>F32*AP32</f>
        <v>0</v>
      </c>
      <c r="BJ32" s="24">
        <f>F32*G32</f>
        <v>0</v>
      </c>
      <c r="BK32" s="24"/>
      <c r="BL32" s="24">
        <v>64</v>
      </c>
      <c r="BW32" s="24">
        <v>0</v>
      </c>
      <c r="BX32" s="4" t="s">
        <v>109</v>
      </c>
    </row>
    <row r="33" spans="1:76" ht="27" customHeight="1" x14ac:dyDescent="0.25">
      <c r="A33" s="27"/>
      <c r="B33" s="28" t="s">
        <v>65</v>
      </c>
      <c r="C33" s="149" t="s">
        <v>110</v>
      </c>
      <c r="D33" s="150"/>
      <c r="E33" s="150"/>
      <c r="F33" s="150"/>
      <c r="G33" s="150"/>
      <c r="H33" s="150"/>
      <c r="I33" s="150"/>
      <c r="J33" s="150"/>
      <c r="K33" s="151"/>
    </row>
    <row r="34" spans="1:76" x14ac:dyDescent="0.25">
      <c r="A34" s="29" t="s">
        <v>51</v>
      </c>
      <c r="B34" s="30" t="s">
        <v>111</v>
      </c>
      <c r="C34" s="153" t="s">
        <v>112</v>
      </c>
      <c r="D34" s="154"/>
      <c r="E34" s="31" t="s">
        <v>4</v>
      </c>
      <c r="F34" s="31" t="s">
        <v>4</v>
      </c>
      <c r="G34" s="31" t="s">
        <v>4</v>
      </c>
      <c r="H34" s="1">
        <f>SUM(H35:H35)</f>
        <v>0</v>
      </c>
      <c r="I34" s="1">
        <f>SUM(I35:I35)</f>
        <v>0</v>
      </c>
      <c r="J34" s="1">
        <f>SUM(J35:J35)</f>
        <v>0</v>
      </c>
      <c r="K34" s="32" t="s">
        <v>51</v>
      </c>
      <c r="AI34" s="10" t="s">
        <v>51</v>
      </c>
      <c r="AS34" s="1">
        <f>SUM(AJ35:AJ35)</f>
        <v>0</v>
      </c>
      <c r="AT34" s="1">
        <f>SUM(AK35:AK35)</f>
        <v>0</v>
      </c>
      <c r="AU34" s="1">
        <f>SUM(AL35:AL35)</f>
        <v>0</v>
      </c>
    </row>
    <row r="35" spans="1:76" x14ac:dyDescent="0.25">
      <c r="A35" s="2" t="s">
        <v>113</v>
      </c>
      <c r="B35" s="3" t="s">
        <v>114</v>
      </c>
      <c r="C35" s="83" t="s">
        <v>115</v>
      </c>
      <c r="D35" s="84"/>
      <c r="E35" s="3" t="s">
        <v>116</v>
      </c>
      <c r="F35" s="24">
        <v>1</v>
      </c>
      <c r="G35" s="24">
        <v>0</v>
      </c>
      <c r="H35" s="24">
        <f>ROUND(F35*AO35,2)</f>
        <v>0</v>
      </c>
      <c r="I35" s="24">
        <f>ROUND(F35*AP35,2)</f>
        <v>0</v>
      </c>
      <c r="J35" s="24">
        <f>ROUND(F35*G35,2)</f>
        <v>0</v>
      </c>
      <c r="K35" s="25" t="s">
        <v>51</v>
      </c>
      <c r="Z35" s="24">
        <f>ROUND(IF(AQ35="5",BJ35,0),2)</f>
        <v>0</v>
      </c>
      <c r="AB35" s="24">
        <f>ROUND(IF(AQ35="1",BH35,0),2)</f>
        <v>0</v>
      </c>
      <c r="AC35" s="24">
        <f>ROUND(IF(AQ35="1",BI35,0),2)</f>
        <v>0</v>
      </c>
      <c r="AD35" s="24">
        <f>ROUND(IF(AQ35="7",BH35,0),2)</f>
        <v>0</v>
      </c>
      <c r="AE35" s="24">
        <f>ROUND(IF(AQ35="7",BI35,0),2)</f>
        <v>0</v>
      </c>
      <c r="AF35" s="24">
        <f>ROUND(IF(AQ35="2",BH35,0),2)</f>
        <v>0</v>
      </c>
      <c r="AG35" s="24">
        <f>ROUND(IF(AQ35="2",BI35,0),2)</f>
        <v>0</v>
      </c>
      <c r="AH35" s="24">
        <f>ROUND(IF(AQ35="0",BJ35,0),2)</f>
        <v>0</v>
      </c>
      <c r="AI35" s="10" t="s">
        <v>51</v>
      </c>
      <c r="AJ35" s="24">
        <f>IF(AN35=0,J35,0)</f>
        <v>0</v>
      </c>
      <c r="AK35" s="24">
        <f>IF(AN35=12,J35,0)</f>
        <v>0</v>
      </c>
      <c r="AL35" s="24">
        <f>IF(AN35=21,J35,0)</f>
        <v>0</v>
      </c>
      <c r="AN35" s="24">
        <v>0</v>
      </c>
      <c r="AO35" s="24">
        <f>G35*0</f>
        <v>0</v>
      </c>
      <c r="AP35" s="24">
        <f>G35*(1-0)</f>
        <v>0</v>
      </c>
      <c r="AQ35" s="26" t="s">
        <v>85</v>
      </c>
      <c r="AV35" s="24">
        <f>ROUND(AW35+AX35,2)</f>
        <v>0</v>
      </c>
      <c r="AW35" s="24">
        <f>ROUND(F35*AO35,2)</f>
        <v>0</v>
      </c>
      <c r="AX35" s="24">
        <f>ROUND(F35*AP35,2)</f>
        <v>0</v>
      </c>
      <c r="AY35" s="26" t="s">
        <v>117</v>
      </c>
      <c r="AZ35" s="26" t="s">
        <v>118</v>
      </c>
      <c r="BA35" s="10" t="s">
        <v>61</v>
      </c>
      <c r="BC35" s="24">
        <f>AW35+AX35</f>
        <v>0</v>
      </c>
      <c r="BD35" s="24">
        <f>G35/(100-BE35)*100</f>
        <v>0</v>
      </c>
      <c r="BE35" s="24">
        <v>0</v>
      </c>
      <c r="BF35" s="24">
        <f>35</f>
        <v>35</v>
      </c>
      <c r="BH35" s="24">
        <f>F35*AO35</f>
        <v>0</v>
      </c>
      <c r="BI35" s="24">
        <f>F35*AP35</f>
        <v>0</v>
      </c>
      <c r="BJ35" s="24">
        <f>F35*G35</f>
        <v>0</v>
      </c>
      <c r="BK35" s="24"/>
      <c r="BL35" s="24">
        <v>721</v>
      </c>
      <c r="BW35" s="24">
        <v>0</v>
      </c>
      <c r="BX35" s="4" t="s">
        <v>115</v>
      </c>
    </row>
    <row r="36" spans="1:76" ht="13.5" customHeight="1" x14ac:dyDescent="0.25">
      <c r="A36" s="27"/>
      <c r="B36" s="28" t="s">
        <v>65</v>
      </c>
      <c r="C36" s="149" t="s">
        <v>119</v>
      </c>
      <c r="D36" s="150"/>
      <c r="E36" s="150"/>
      <c r="F36" s="150"/>
      <c r="G36" s="150"/>
      <c r="H36" s="150"/>
      <c r="I36" s="150"/>
      <c r="J36" s="150"/>
      <c r="K36" s="151"/>
    </row>
    <row r="37" spans="1:76" x14ac:dyDescent="0.25">
      <c r="A37" s="29" t="s">
        <v>51</v>
      </c>
      <c r="B37" s="30" t="s">
        <v>120</v>
      </c>
      <c r="C37" s="153" t="s">
        <v>121</v>
      </c>
      <c r="D37" s="154"/>
      <c r="E37" s="31" t="s">
        <v>4</v>
      </c>
      <c r="F37" s="31" t="s">
        <v>4</v>
      </c>
      <c r="G37" s="31" t="s">
        <v>4</v>
      </c>
      <c r="H37" s="1">
        <f>SUM(H38:H40)</f>
        <v>0</v>
      </c>
      <c r="I37" s="1">
        <f>SUM(I38:I40)</f>
        <v>0</v>
      </c>
      <c r="J37" s="1">
        <f>SUM(J38:J40)</f>
        <v>0</v>
      </c>
      <c r="K37" s="32" t="s">
        <v>51</v>
      </c>
      <c r="AI37" s="10" t="s">
        <v>51</v>
      </c>
      <c r="AS37" s="1">
        <f>SUM(AJ38:AJ40)</f>
        <v>0</v>
      </c>
      <c r="AT37" s="1">
        <f>SUM(AK38:AK40)</f>
        <v>0</v>
      </c>
      <c r="AU37" s="1">
        <f>SUM(AL38:AL40)</f>
        <v>0</v>
      </c>
    </row>
    <row r="38" spans="1:76" x14ac:dyDescent="0.25">
      <c r="A38" s="2" t="s">
        <v>122</v>
      </c>
      <c r="B38" s="3" t="s">
        <v>123</v>
      </c>
      <c r="C38" s="83" t="s">
        <v>124</v>
      </c>
      <c r="D38" s="84"/>
      <c r="E38" s="3" t="s">
        <v>104</v>
      </c>
      <c r="F38" s="24">
        <v>1</v>
      </c>
      <c r="G38" s="24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58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51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0</v>
      </c>
      <c r="AO38" s="24">
        <f>G38*0.884272113</f>
        <v>0</v>
      </c>
      <c r="AP38" s="24">
        <f>G38*(1-0.884272113)</f>
        <v>0</v>
      </c>
      <c r="AQ38" s="26" t="s">
        <v>85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125</v>
      </c>
      <c r="AZ38" s="26" t="s">
        <v>118</v>
      </c>
      <c r="BA38" s="10" t="s">
        <v>61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4"/>
      <c r="BL38" s="24">
        <v>725</v>
      </c>
      <c r="BW38" s="24">
        <v>0</v>
      </c>
      <c r="BX38" s="4" t="s">
        <v>124</v>
      </c>
    </row>
    <row r="39" spans="1:76" ht="13.5" customHeight="1" x14ac:dyDescent="0.25">
      <c r="A39" s="27"/>
      <c r="B39" s="28" t="s">
        <v>65</v>
      </c>
      <c r="C39" s="149" t="s">
        <v>126</v>
      </c>
      <c r="D39" s="150"/>
      <c r="E39" s="150"/>
      <c r="F39" s="150"/>
      <c r="G39" s="150"/>
      <c r="H39" s="150"/>
      <c r="I39" s="150"/>
      <c r="J39" s="150"/>
      <c r="K39" s="151"/>
    </row>
    <row r="40" spans="1:76" x14ac:dyDescent="0.25">
      <c r="A40" s="2" t="s">
        <v>127</v>
      </c>
      <c r="B40" s="3" t="s">
        <v>128</v>
      </c>
      <c r="C40" s="83" t="s">
        <v>129</v>
      </c>
      <c r="D40" s="84"/>
      <c r="E40" s="3" t="s">
        <v>130</v>
      </c>
      <c r="F40" s="24">
        <v>1</v>
      </c>
      <c r="G40" s="24">
        <v>0</v>
      </c>
      <c r="H40" s="24">
        <f>ROUND(F40*AO40,2)</f>
        <v>0</v>
      </c>
      <c r="I40" s="24">
        <f>ROUND(F40*AP40,2)</f>
        <v>0</v>
      </c>
      <c r="J40" s="24">
        <f>ROUND(F40*G40,2)</f>
        <v>0</v>
      </c>
      <c r="K40" s="25" t="s">
        <v>58</v>
      </c>
      <c r="Z40" s="24">
        <f>ROUND(IF(AQ40="5",BJ40,0),2)</f>
        <v>0</v>
      </c>
      <c r="AB40" s="24">
        <f>ROUND(IF(AQ40="1",BH40,0),2)</f>
        <v>0</v>
      </c>
      <c r="AC40" s="24">
        <f>ROUND(IF(AQ40="1",BI40,0),2)</f>
        <v>0</v>
      </c>
      <c r="AD40" s="24">
        <f>ROUND(IF(AQ40="7",BH40,0),2)</f>
        <v>0</v>
      </c>
      <c r="AE40" s="24">
        <f>ROUND(IF(AQ40="7",BI40,0),2)</f>
        <v>0</v>
      </c>
      <c r="AF40" s="24">
        <f>ROUND(IF(AQ40="2",BH40,0),2)</f>
        <v>0</v>
      </c>
      <c r="AG40" s="24">
        <f>ROUND(IF(AQ40="2",BI40,0),2)</f>
        <v>0</v>
      </c>
      <c r="AH40" s="24">
        <f>ROUND(IF(AQ40="0",BJ40,0),2)</f>
        <v>0</v>
      </c>
      <c r="AI40" s="10" t="s">
        <v>51</v>
      </c>
      <c r="AJ40" s="24">
        <f>IF(AN40=0,J40,0)</f>
        <v>0</v>
      </c>
      <c r="AK40" s="24">
        <f>IF(AN40=12,J40,0)</f>
        <v>0</v>
      </c>
      <c r="AL40" s="24">
        <f>IF(AN40=21,J40,0)</f>
        <v>0</v>
      </c>
      <c r="AN40" s="24">
        <v>0</v>
      </c>
      <c r="AO40" s="24">
        <f>G40*1</f>
        <v>0</v>
      </c>
      <c r="AP40" s="24">
        <f>G40*(1-1)</f>
        <v>0</v>
      </c>
      <c r="AQ40" s="26" t="s">
        <v>85</v>
      </c>
      <c r="AV40" s="24">
        <f>ROUND(AW40+AX40,2)</f>
        <v>0</v>
      </c>
      <c r="AW40" s="24">
        <f>ROUND(F40*AO40,2)</f>
        <v>0</v>
      </c>
      <c r="AX40" s="24">
        <f>ROUND(F40*AP40,2)</f>
        <v>0</v>
      </c>
      <c r="AY40" s="26" t="s">
        <v>125</v>
      </c>
      <c r="AZ40" s="26" t="s">
        <v>118</v>
      </c>
      <c r="BA40" s="10" t="s">
        <v>61</v>
      </c>
      <c r="BC40" s="24">
        <f>AW40+AX40</f>
        <v>0</v>
      </c>
      <c r="BD40" s="24">
        <f>G40/(100-BE40)*100</f>
        <v>0</v>
      </c>
      <c r="BE40" s="24">
        <v>0</v>
      </c>
      <c r="BF40" s="24">
        <f>40</f>
        <v>40</v>
      </c>
      <c r="BH40" s="24">
        <f>F40*AO40</f>
        <v>0</v>
      </c>
      <c r="BI40" s="24">
        <f>F40*AP40</f>
        <v>0</v>
      </c>
      <c r="BJ40" s="24">
        <f>F40*G40</f>
        <v>0</v>
      </c>
      <c r="BK40" s="24"/>
      <c r="BL40" s="24">
        <v>725</v>
      </c>
      <c r="BW40" s="24">
        <v>0</v>
      </c>
      <c r="BX40" s="4" t="s">
        <v>129</v>
      </c>
    </row>
    <row r="41" spans="1:76" x14ac:dyDescent="0.25">
      <c r="A41" s="29" t="s">
        <v>51</v>
      </c>
      <c r="B41" s="30" t="s">
        <v>131</v>
      </c>
      <c r="C41" s="153" t="s">
        <v>132</v>
      </c>
      <c r="D41" s="154"/>
      <c r="E41" s="31" t="s">
        <v>4</v>
      </c>
      <c r="F41" s="31" t="s">
        <v>4</v>
      </c>
      <c r="G41" s="31" t="s">
        <v>4</v>
      </c>
      <c r="H41" s="1">
        <f>SUM(H42:H43)</f>
        <v>0</v>
      </c>
      <c r="I41" s="1">
        <f>SUM(I42:I43)</f>
        <v>0</v>
      </c>
      <c r="J41" s="1">
        <f>SUM(J42:J43)</f>
        <v>0</v>
      </c>
      <c r="K41" s="32" t="s">
        <v>51</v>
      </c>
      <c r="AI41" s="10" t="s">
        <v>51</v>
      </c>
      <c r="AS41" s="1">
        <f>SUM(AJ42:AJ43)</f>
        <v>0</v>
      </c>
      <c r="AT41" s="1">
        <f>SUM(AK42:AK43)</f>
        <v>0</v>
      </c>
      <c r="AU41" s="1">
        <f>SUM(AL42:AL43)</f>
        <v>0</v>
      </c>
    </row>
    <row r="42" spans="1:76" x14ac:dyDescent="0.25">
      <c r="A42" s="2" t="s">
        <v>133</v>
      </c>
      <c r="B42" s="3" t="s">
        <v>134</v>
      </c>
      <c r="C42" s="83" t="s">
        <v>135</v>
      </c>
      <c r="D42" s="84"/>
      <c r="E42" s="3" t="s">
        <v>104</v>
      </c>
      <c r="F42" s="24">
        <v>1</v>
      </c>
      <c r="G42" s="24">
        <v>0</v>
      </c>
      <c r="H42" s="24">
        <f>ROUND(F42*AO42,2)</f>
        <v>0</v>
      </c>
      <c r="I42" s="24">
        <f>ROUND(F42*AP42,2)</f>
        <v>0</v>
      </c>
      <c r="J42" s="24">
        <f>ROUND(F42*G42,2)</f>
        <v>0</v>
      </c>
      <c r="K42" s="25" t="s">
        <v>58</v>
      </c>
      <c r="Z42" s="24">
        <f>ROUND(IF(AQ42="5",BJ42,0),2)</f>
        <v>0</v>
      </c>
      <c r="AB42" s="24">
        <f>ROUND(IF(AQ42="1",BH42,0),2)</f>
        <v>0</v>
      </c>
      <c r="AC42" s="24">
        <f>ROUND(IF(AQ42="1",BI42,0),2)</f>
        <v>0</v>
      </c>
      <c r="AD42" s="24">
        <f>ROUND(IF(AQ42="7",BH42,0),2)</f>
        <v>0</v>
      </c>
      <c r="AE42" s="24">
        <f>ROUND(IF(AQ42="7",BI42,0),2)</f>
        <v>0</v>
      </c>
      <c r="AF42" s="24">
        <f>ROUND(IF(AQ42="2",BH42,0),2)</f>
        <v>0</v>
      </c>
      <c r="AG42" s="24">
        <f>ROUND(IF(AQ42="2",BI42,0),2)</f>
        <v>0</v>
      </c>
      <c r="AH42" s="24">
        <f>ROUND(IF(AQ42="0",BJ42,0),2)</f>
        <v>0</v>
      </c>
      <c r="AI42" s="10" t="s">
        <v>51</v>
      </c>
      <c r="AJ42" s="24">
        <f>IF(AN42=0,J42,0)</f>
        <v>0</v>
      </c>
      <c r="AK42" s="24">
        <f>IF(AN42=12,J42,0)</f>
        <v>0</v>
      </c>
      <c r="AL42" s="24">
        <f>IF(AN42=21,J42,0)</f>
        <v>0</v>
      </c>
      <c r="AN42" s="24">
        <v>0</v>
      </c>
      <c r="AO42" s="24">
        <f>G42*0.656075083</f>
        <v>0</v>
      </c>
      <c r="AP42" s="24">
        <f>G42*(1-0.656075083)</f>
        <v>0</v>
      </c>
      <c r="AQ42" s="26" t="s">
        <v>85</v>
      </c>
      <c r="AV42" s="24">
        <f>ROUND(AW42+AX42,2)</f>
        <v>0</v>
      </c>
      <c r="AW42" s="24">
        <f>ROUND(F42*AO42,2)</f>
        <v>0</v>
      </c>
      <c r="AX42" s="24">
        <f>ROUND(F42*AP42,2)</f>
        <v>0</v>
      </c>
      <c r="AY42" s="26" t="s">
        <v>136</v>
      </c>
      <c r="AZ42" s="26" t="s">
        <v>118</v>
      </c>
      <c r="BA42" s="10" t="s">
        <v>61</v>
      </c>
      <c r="BC42" s="24">
        <f>AW42+AX42</f>
        <v>0</v>
      </c>
      <c r="BD42" s="24">
        <f>G42/(100-BE42)*100</f>
        <v>0</v>
      </c>
      <c r="BE42" s="24">
        <v>0</v>
      </c>
      <c r="BF42" s="24">
        <f>42</f>
        <v>42</v>
      </c>
      <c r="BH42" s="24">
        <f>F42*AO42</f>
        <v>0</v>
      </c>
      <c r="BI42" s="24">
        <f>F42*AP42</f>
        <v>0</v>
      </c>
      <c r="BJ42" s="24">
        <f>F42*G42</f>
        <v>0</v>
      </c>
      <c r="BK42" s="24"/>
      <c r="BL42" s="24">
        <v>728</v>
      </c>
      <c r="BW42" s="24">
        <v>0</v>
      </c>
      <c r="BX42" s="4" t="s">
        <v>135</v>
      </c>
    </row>
    <row r="43" spans="1:76" x14ac:dyDescent="0.25">
      <c r="A43" s="2" t="s">
        <v>137</v>
      </c>
      <c r="B43" s="3" t="s">
        <v>138</v>
      </c>
      <c r="C43" s="83" t="s">
        <v>139</v>
      </c>
      <c r="D43" s="84"/>
      <c r="E43" s="3" t="s">
        <v>116</v>
      </c>
      <c r="F43" s="24">
        <v>1</v>
      </c>
      <c r="G43" s="24">
        <v>0</v>
      </c>
      <c r="H43" s="24">
        <f>ROUND(F43*AO43,2)</f>
        <v>0</v>
      </c>
      <c r="I43" s="24">
        <f>ROUND(F43*AP43,2)</f>
        <v>0</v>
      </c>
      <c r="J43" s="24">
        <f>ROUND(F43*G43,2)</f>
        <v>0</v>
      </c>
      <c r="K43" s="25" t="s">
        <v>51</v>
      </c>
      <c r="Z43" s="24">
        <f>ROUND(IF(AQ43="5",BJ43,0),2)</f>
        <v>0</v>
      </c>
      <c r="AB43" s="24">
        <f>ROUND(IF(AQ43="1",BH43,0),2)</f>
        <v>0</v>
      </c>
      <c r="AC43" s="24">
        <f>ROUND(IF(AQ43="1",BI43,0),2)</f>
        <v>0</v>
      </c>
      <c r="AD43" s="24">
        <f>ROUND(IF(AQ43="7",BH43,0),2)</f>
        <v>0</v>
      </c>
      <c r="AE43" s="24">
        <f>ROUND(IF(AQ43="7",BI43,0),2)</f>
        <v>0</v>
      </c>
      <c r="AF43" s="24">
        <f>ROUND(IF(AQ43="2",BH43,0),2)</f>
        <v>0</v>
      </c>
      <c r="AG43" s="24">
        <f>ROUND(IF(AQ43="2",BI43,0),2)</f>
        <v>0</v>
      </c>
      <c r="AH43" s="24">
        <f>ROUND(IF(AQ43="0",BJ43,0),2)</f>
        <v>0</v>
      </c>
      <c r="AI43" s="10" t="s">
        <v>51</v>
      </c>
      <c r="AJ43" s="24">
        <f>IF(AN43=0,J43,0)</f>
        <v>0</v>
      </c>
      <c r="AK43" s="24">
        <f>IF(AN43=12,J43,0)</f>
        <v>0</v>
      </c>
      <c r="AL43" s="24">
        <f>IF(AN43=21,J43,0)</f>
        <v>0</v>
      </c>
      <c r="AN43" s="24">
        <v>0</v>
      </c>
      <c r="AO43" s="24">
        <f>G43*0</f>
        <v>0</v>
      </c>
      <c r="AP43" s="24">
        <f>G43*(1-0)</f>
        <v>0</v>
      </c>
      <c r="AQ43" s="26" t="s">
        <v>62</v>
      </c>
      <c r="AV43" s="24">
        <f>ROUND(AW43+AX43,2)</f>
        <v>0</v>
      </c>
      <c r="AW43" s="24">
        <f>ROUND(F43*AO43,2)</f>
        <v>0</v>
      </c>
      <c r="AX43" s="24">
        <f>ROUND(F43*AP43,2)</f>
        <v>0</v>
      </c>
      <c r="AY43" s="26" t="s">
        <v>136</v>
      </c>
      <c r="AZ43" s="26" t="s">
        <v>118</v>
      </c>
      <c r="BA43" s="10" t="s">
        <v>61</v>
      </c>
      <c r="BC43" s="24">
        <f>AW43+AX43</f>
        <v>0</v>
      </c>
      <c r="BD43" s="24">
        <f>G43/(100-BE43)*100</f>
        <v>0</v>
      </c>
      <c r="BE43" s="24">
        <v>0</v>
      </c>
      <c r="BF43" s="24">
        <f>43</f>
        <v>43</v>
      </c>
      <c r="BH43" s="24">
        <f>F43*AO43</f>
        <v>0</v>
      </c>
      <c r="BI43" s="24">
        <f>F43*AP43</f>
        <v>0</v>
      </c>
      <c r="BJ43" s="24">
        <f>F43*G43</f>
        <v>0</v>
      </c>
      <c r="BK43" s="24"/>
      <c r="BL43" s="24">
        <v>728</v>
      </c>
      <c r="BW43" s="24">
        <v>0</v>
      </c>
      <c r="BX43" s="4" t="s">
        <v>139</v>
      </c>
    </row>
    <row r="44" spans="1:76" x14ac:dyDescent="0.25">
      <c r="A44" s="29" t="s">
        <v>51</v>
      </c>
      <c r="B44" s="30" t="s">
        <v>140</v>
      </c>
      <c r="C44" s="153" t="s">
        <v>141</v>
      </c>
      <c r="D44" s="154"/>
      <c r="E44" s="31" t="s">
        <v>4</v>
      </c>
      <c r="F44" s="31" t="s">
        <v>4</v>
      </c>
      <c r="G44" s="31" t="s">
        <v>4</v>
      </c>
      <c r="H44" s="1">
        <f>SUM(H45:H45)</f>
        <v>0</v>
      </c>
      <c r="I44" s="1">
        <f>SUM(I45:I45)</f>
        <v>0</v>
      </c>
      <c r="J44" s="1">
        <f>SUM(J45:J45)</f>
        <v>0</v>
      </c>
      <c r="K44" s="32" t="s">
        <v>51</v>
      </c>
      <c r="AI44" s="10" t="s">
        <v>51</v>
      </c>
      <c r="AS44" s="1">
        <f>SUM(AJ45:AJ45)</f>
        <v>0</v>
      </c>
      <c r="AT44" s="1">
        <f>SUM(AK45:AK45)</f>
        <v>0</v>
      </c>
      <c r="AU44" s="1">
        <f>SUM(AL45:AL45)</f>
        <v>0</v>
      </c>
    </row>
    <row r="45" spans="1:76" x14ac:dyDescent="0.25">
      <c r="A45" s="2" t="s">
        <v>142</v>
      </c>
      <c r="B45" s="3" t="s">
        <v>143</v>
      </c>
      <c r="C45" s="83" t="s">
        <v>144</v>
      </c>
      <c r="D45" s="84"/>
      <c r="E45" s="3" t="s">
        <v>116</v>
      </c>
      <c r="F45" s="24">
        <v>1</v>
      </c>
      <c r="G45" s="24">
        <v>0</v>
      </c>
      <c r="H45" s="24">
        <f>ROUND(F45*AO45,2)</f>
        <v>0</v>
      </c>
      <c r="I45" s="24">
        <f>ROUND(F45*AP45,2)</f>
        <v>0</v>
      </c>
      <c r="J45" s="24">
        <f>ROUND(F45*G45,2)</f>
        <v>0</v>
      </c>
      <c r="K45" s="25" t="s">
        <v>51</v>
      </c>
      <c r="Z45" s="24">
        <f>ROUND(IF(AQ45="5",BJ45,0),2)</f>
        <v>0</v>
      </c>
      <c r="AB45" s="24">
        <f>ROUND(IF(AQ45="1",BH45,0),2)</f>
        <v>0</v>
      </c>
      <c r="AC45" s="24">
        <f>ROUND(IF(AQ45="1",BI45,0),2)</f>
        <v>0</v>
      </c>
      <c r="AD45" s="24">
        <f>ROUND(IF(AQ45="7",BH45,0),2)</f>
        <v>0</v>
      </c>
      <c r="AE45" s="24">
        <f>ROUND(IF(AQ45="7",BI45,0),2)</f>
        <v>0</v>
      </c>
      <c r="AF45" s="24">
        <f>ROUND(IF(AQ45="2",BH45,0),2)</f>
        <v>0</v>
      </c>
      <c r="AG45" s="24">
        <f>ROUND(IF(AQ45="2",BI45,0),2)</f>
        <v>0</v>
      </c>
      <c r="AH45" s="24">
        <f>ROUND(IF(AQ45="0",BJ45,0),2)</f>
        <v>0</v>
      </c>
      <c r="AI45" s="10" t="s">
        <v>51</v>
      </c>
      <c r="AJ45" s="24">
        <f>IF(AN45=0,J45,0)</f>
        <v>0</v>
      </c>
      <c r="AK45" s="24">
        <f>IF(AN45=12,J45,0)</f>
        <v>0</v>
      </c>
      <c r="AL45" s="24">
        <f>IF(AN45=21,J45,0)</f>
        <v>0</v>
      </c>
      <c r="AN45" s="24">
        <v>0</v>
      </c>
      <c r="AO45" s="24">
        <f>G45*0</f>
        <v>0</v>
      </c>
      <c r="AP45" s="24">
        <f>G45*(1-0)</f>
        <v>0</v>
      </c>
      <c r="AQ45" s="26" t="s">
        <v>85</v>
      </c>
      <c r="AV45" s="24">
        <f>ROUND(AW45+AX45,2)</f>
        <v>0</v>
      </c>
      <c r="AW45" s="24">
        <f>ROUND(F45*AO45,2)</f>
        <v>0</v>
      </c>
      <c r="AX45" s="24">
        <f>ROUND(F45*AP45,2)</f>
        <v>0</v>
      </c>
      <c r="AY45" s="26" t="s">
        <v>145</v>
      </c>
      <c r="AZ45" s="26" t="s">
        <v>146</v>
      </c>
      <c r="BA45" s="10" t="s">
        <v>61</v>
      </c>
      <c r="BC45" s="24">
        <f>AW45+AX45</f>
        <v>0</v>
      </c>
      <c r="BD45" s="24">
        <f>G45/(100-BE45)*100</f>
        <v>0</v>
      </c>
      <c r="BE45" s="24">
        <v>0</v>
      </c>
      <c r="BF45" s="24">
        <f>45</f>
        <v>45</v>
      </c>
      <c r="BH45" s="24">
        <f>F45*AO45</f>
        <v>0</v>
      </c>
      <c r="BI45" s="24">
        <f>F45*AP45</f>
        <v>0</v>
      </c>
      <c r="BJ45" s="24">
        <f>F45*G45</f>
        <v>0</v>
      </c>
      <c r="BK45" s="24"/>
      <c r="BL45" s="24">
        <v>735</v>
      </c>
      <c r="BW45" s="24">
        <v>0</v>
      </c>
      <c r="BX45" s="4" t="s">
        <v>144</v>
      </c>
    </row>
    <row r="46" spans="1:76" x14ac:dyDescent="0.25">
      <c r="A46" s="29" t="s">
        <v>51</v>
      </c>
      <c r="B46" s="30" t="s">
        <v>147</v>
      </c>
      <c r="C46" s="153" t="s">
        <v>148</v>
      </c>
      <c r="D46" s="154"/>
      <c r="E46" s="31" t="s">
        <v>4</v>
      </c>
      <c r="F46" s="31" t="s">
        <v>4</v>
      </c>
      <c r="G46" s="31" t="s">
        <v>4</v>
      </c>
      <c r="H46" s="1">
        <f>SUM(H47:H52)</f>
        <v>0</v>
      </c>
      <c r="I46" s="1">
        <f>SUM(I47:I52)</f>
        <v>0</v>
      </c>
      <c r="J46" s="1">
        <f>SUM(J47:J52)</f>
        <v>0</v>
      </c>
      <c r="K46" s="32" t="s">
        <v>51</v>
      </c>
      <c r="AI46" s="10" t="s">
        <v>51</v>
      </c>
      <c r="AS46" s="1">
        <f>SUM(AJ47:AJ52)</f>
        <v>0</v>
      </c>
      <c r="AT46" s="1">
        <f>SUM(AK47:AK52)</f>
        <v>0</v>
      </c>
      <c r="AU46" s="1">
        <f>SUM(AL47:AL52)</f>
        <v>0</v>
      </c>
    </row>
    <row r="47" spans="1:76" x14ac:dyDescent="0.25">
      <c r="A47" s="2" t="s">
        <v>149</v>
      </c>
      <c r="B47" s="3" t="s">
        <v>150</v>
      </c>
      <c r="C47" s="83" t="s">
        <v>151</v>
      </c>
      <c r="D47" s="84"/>
      <c r="E47" s="3" t="s">
        <v>104</v>
      </c>
      <c r="F47" s="24">
        <v>5</v>
      </c>
      <c r="G47" s="24">
        <v>0</v>
      </c>
      <c r="H47" s="24">
        <f t="shared" ref="H47:H52" si="0">ROUND(F47*AO47,2)</f>
        <v>0</v>
      </c>
      <c r="I47" s="24">
        <f t="shared" ref="I47:I52" si="1">ROUND(F47*AP47,2)</f>
        <v>0</v>
      </c>
      <c r="J47" s="24">
        <f t="shared" ref="J47:J52" si="2">ROUND(F47*G47,2)</f>
        <v>0</v>
      </c>
      <c r="K47" s="25" t="s">
        <v>58</v>
      </c>
      <c r="Z47" s="24">
        <f t="shared" ref="Z47:Z52" si="3">ROUND(IF(AQ47="5",BJ47,0),2)</f>
        <v>0</v>
      </c>
      <c r="AB47" s="24">
        <f t="shared" ref="AB47:AB52" si="4">ROUND(IF(AQ47="1",BH47,0),2)</f>
        <v>0</v>
      </c>
      <c r="AC47" s="24">
        <f t="shared" ref="AC47:AC52" si="5">ROUND(IF(AQ47="1",BI47,0),2)</f>
        <v>0</v>
      </c>
      <c r="AD47" s="24">
        <f t="shared" ref="AD47:AD52" si="6">ROUND(IF(AQ47="7",BH47,0),2)</f>
        <v>0</v>
      </c>
      <c r="AE47" s="24">
        <f t="shared" ref="AE47:AE52" si="7">ROUND(IF(AQ47="7",BI47,0),2)</f>
        <v>0</v>
      </c>
      <c r="AF47" s="24">
        <f t="shared" ref="AF47:AF52" si="8">ROUND(IF(AQ47="2",BH47,0),2)</f>
        <v>0</v>
      </c>
      <c r="AG47" s="24">
        <f t="shared" ref="AG47:AG52" si="9">ROUND(IF(AQ47="2",BI47,0),2)</f>
        <v>0</v>
      </c>
      <c r="AH47" s="24">
        <f t="shared" ref="AH47:AH52" si="10">ROUND(IF(AQ47="0",BJ47,0),2)</f>
        <v>0</v>
      </c>
      <c r="AI47" s="10" t="s">
        <v>51</v>
      </c>
      <c r="AJ47" s="24">
        <f t="shared" ref="AJ47:AJ52" si="11">IF(AN47=0,J47,0)</f>
        <v>0</v>
      </c>
      <c r="AK47" s="24">
        <f t="shared" ref="AK47:AK52" si="12">IF(AN47=12,J47,0)</f>
        <v>0</v>
      </c>
      <c r="AL47" s="24">
        <f t="shared" ref="AL47:AL52" si="13">IF(AN47=21,J47,0)</f>
        <v>0</v>
      </c>
      <c r="AN47" s="24">
        <v>0</v>
      </c>
      <c r="AO47" s="24">
        <f>G47*0</f>
        <v>0</v>
      </c>
      <c r="AP47" s="24">
        <f>G47*(1-0)</f>
        <v>0</v>
      </c>
      <c r="AQ47" s="26" t="s">
        <v>85</v>
      </c>
      <c r="AV47" s="24">
        <f t="shared" ref="AV47:AV52" si="14">ROUND(AW47+AX47,2)</f>
        <v>0</v>
      </c>
      <c r="AW47" s="24">
        <f t="shared" ref="AW47:AW52" si="15">ROUND(F47*AO47,2)</f>
        <v>0</v>
      </c>
      <c r="AX47" s="24">
        <f t="shared" ref="AX47:AX52" si="16">ROUND(F47*AP47,2)</f>
        <v>0</v>
      </c>
      <c r="AY47" s="26" t="s">
        <v>152</v>
      </c>
      <c r="AZ47" s="26" t="s">
        <v>153</v>
      </c>
      <c r="BA47" s="10" t="s">
        <v>61</v>
      </c>
      <c r="BC47" s="24">
        <f t="shared" ref="BC47:BC52" si="17">AW47+AX47</f>
        <v>0</v>
      </c>
      <c r="BD47" s="24">
        <f t="shared" ref="BD47:BD52" si="18">G47/(100-BE47)*100</f>
        <v>0</v>
      </c>
      <c r="BE47" s="24">
        <v>0</v>
      </c>
      <c r="BF47" s="24">
        <f>47</f>
        <v>47</v>
      </c>
      <c r="BH47" s="24">
        <f t="shared" ref="BH47:BH52" si="19">F47*AO47</f>
        <v>0</v>
      </c>
      <c r="BI47" s="24">
        <f t="shared" ref="BI47:BI52" si="20">F47*AP47</f>
        <v>0</v>
      </c>
      <c r="BJ47" s="24">
        <f t="shared" ref="BJ47:BJ52" si="21">F47*G47</f>
        <v>0</v>
      </c>
      <c r="BK47" s="24"/>
      <c r="BL47" s="24">
        <v>766</v>
      </c>
      <c r="BW47" s="24">
        <v>0</v>
      </c>
      <c r="BX47" s="4" t="s">
        <v>151</v>
      </c>
    </row>
    <row r="48" spans="1:76" x14ac:dyDescent="0.25">
      <c r="A48" s="2" t="s">
        <v>154</v>
      </c>
      <c r="B48" s="3" t="s">
        <v>155</v>
      </c>
      <c r="C48" s="83" t="s">
        <v>156</v>
      </c>
      <c r="D48" s="84"/>
      <c r="E48" s="3" t="s">
        <v>104</v>
      </c>
      <c r="F48" s="24">
        <v>1</v>
      </c>
      <c r="G48" s="24">
        <v>0</v>
      </c>
      <c r="H48" s="24">
        <f t="shared" si="0"/>
        <v>0</v>
      </c>
      <c r="I48" s="24">
        <f t="shared" si="1"/>
        <v>0</v>
      </c>
      <c r="J48" s="24">
        <f t="shared" si="2"/>
        <v>0</v>
      </c>
      <c r="K48" s="25" t="s">
        <v>58</v>
      </c>
      <c r="Z48" s="24">
        <f t="shared" si="3"/>
        <v>0</v>
      </c>
      <c r="AB48" s="24">
        <f t="shared" si="4"/>
        <v>0</v>
      </c>
      <c r="AC48" s="24">
        <f t="shared" si="5"/>
        <v>0</v>
      </c>
      <c r="AD48" s="24">
        <f t="shared" si="6"/>
        <v>0</v>
      </c>
      <c r="AE48" s="24">
        <f t="shared" si="7"/>
        <v>0</v>
      </c>
      <c r="AF48" s="24">
        <f t="shared" si="8"/>
        <v>0</v>
      </c>
      <c r="AG48" s="24">
        <f t="shared" si="9"/>
        <v>0</v>
      </c>
      <c r="AH48" s="24">
        <f t="shared" si="10"/>
        <v>0</v>
      </c>
      <c r="AI48" s="10" t="s">
        <v>51</v>
      </c>
      <c r="AJ48" s="24">
        <f t="shared" si="11"/>
        <v>0</v>
      </c>
      <c r="AK48" s="24">
        <f t="shared" si="12"/>
        <v>0</v>
      </c>
      <c r="AL48" s="24">
        <f t="shared" si="13"/>
        <v>0</v>
      </c>
      <c r="AN48" s="24">
        <v>0</v>
      </c>
      <c r="AO48" s="24">
        <f>G48*0</f>
        <v>0</v>
      </c>
      <c r="AP48" s="24">
        <f>G48*(1-0)</f>
        <v>0</v>
      </c>
      <c r="AQ48" s="26" t="s">
        <v>85</v>
      </c>
      <c r="AV48" s="24">
        <f t="shared" si="14"/>
        <v>0</v>
      </c>
      <c r="AW48" s="24">
        <f t="shared" si="15"/>
        <v>0</v>
      </c>
      <c r="AX48" s="24">
        <f t="shared" si="16"/>
        <v>0</v>
      </c>
      <c r="AY48" s="26" t="s">
        <v>152</v>
      </c>
      <c r="AZ48" s="26" t="s">
        <v>153</v>
      </c>
      <c r="BA48" s="10" t="s">
        <v>61</v>
      </c>
      <c r="BC48" s="24">
        <f t="shared" si="17"/>
        <v>0</v>
      </c>
      <c r="BD48" s="24">
        <f t="shared" si="18"/>
        <v>0</v>
      </c>
      <c r="BE48" s="24">
        <v>0</v>
      </c>
      <c r="BF48" s="24">
        <f>48</f>
        <v>48</v>
      </c>
      <c r="BH48" s="24">
        <f t="shared" si="19"/>
        <v>0</v>
      </c>
      <c r="BI48" s="24">
        <f t="shared" si="20"/>
        <v>0</v>
      </c>
      <c r="BJ48" s="24">
        <f t="shared" si="21"/>
        <v>0</v>
      </c>
      <c r="BK48" s="24"/>
      <c r="BL48" s="24">
        <v>766</v>
      </c>
      <c r="BW48" s="24">
        <v>0</v>
      </c>
      <c r="BX48" s="4" t="s">
        <v>156</v>
      </c>
    </row>
    <row r="49" spans="1:76" x14ac:dyDescent="0.25">
      <c r="A49" s="2" t="s">
        <v>157</v>
      </c>
      <c r="B49" s="3" t="s">
        <v>158</v>
      </c>
      <c r="C49" s="83" t="s">
        <v>159</v>
      </c>
      <c r="D49" s="84"/>
      <c r="E49" s="3" t="s">
        <v>104</v>
      </c>
      <c r="F49" s="24">
        <v>1</v>
      </c>
      <c r="G49" s="24">
        <v>0</v>
      </c>
      <c r="H49" s="24">
        <f t="shared" si="0"/>
        <v>0</v>
      </c>
      <c r="I49" s="24">
        <f t="shared" si="1"/>
        <v>0</v>
      </c>
      <c r="J49" s="24">
        <f t="shared" si="2"/>
        <v>0</v>
      </c>
      <c r="K49" s="25" t="s">
        <v>58</v>
      </c>
      <c r="Z49" s="24">
        <f t="shared" si="3"/>
        <v>0</v>
      </c>
      <c r="AB49" s="24">
        <f t="shared" si="4"/>
        <v>0</v>
      </c>
      <c r="AC49" s="24">
        <f t="shared" si="5"/>
        <v>0</v>
      </c>
      <c r="AD49" s="24">
        <f t="shared" si="6"/>
        <v>0</v>
      </c>
      <c r="AE49" s="24">
        <f t="shared" si="7"/>
        <v>0</v>
      </c>
      <c r="AF49" s="24">
        <f t="shared" si="8"/>
        <v>0</v>
      </c>
      <c r="AG49" s="24">
        <f t="shared" si="9"/>
        <v>0</v>
      </c>
      <c r="AH49" s="24">
        <f t="shared" si="10"/>
        <v>0</v>
      </c>
      <c r="AI49" s="10" t="s">
        <v>51</v>
      </c>
      <c r="AJ49" s="24">
        <f t="shared" si="11"/>
        <v>0</v>
      </c>
      <c r="AK49" s="24">
        <f t="shared" si="12"/>
        <v>0</v>
      </c>
      <c r="AL49" s="24">
        <f t="shared" si="13"/>
        <v>0</v>
      </c>
      <c r="AN49" s="24">
        <v>0</v>
      </c>
      <c r="AO49" s="24">
        <f>G49*1</f>
        <v>0</v>
      </c>
      <c r="AP49" s="24">
        <f>G49*(1-1)</f>
        <v>0</v>
      </c>
      <c r="AQ49" s="26" t="s">
        <v>85</v>
      </c>
      <c r="AV49" s="24">
        <f t="shared" si="14"/>
        <v>0</v>
      </c>
      <c r="AW49" s="24">
        <f t="shared" si="15"/>
        <v>0</v>
      </c>
      <c r="AX49" s="24">
        <f t="shared" si="16"/>
        <v>0</v>
      </c>
      <c r="AY49" s="26" t="s">
        <v>152</v>
      </c>
      <c r="AZ49" s="26" t="s">
        <v>153</v>
      </c>
      <c r="BA49" s="10" t="s">
        <v>61</v>
      </c>
      <c r="BC49" s="24">
        <f t="shared" si="17"/>
        <v>0</v>
      </c>
      <c r="BD49" s="24">
        <f t="shared" si="18"/>
        <v>0</v>
      </c>
      <c r="BE49" s="24">
        <v>0</v>
      </c>
      <c r="BF49" s="24">
        <f>49</f>
        <v>49</v>
      </c>
      <c r="BH49" s="24">
        <f t="shared" si="19"/>
        <v>0</v>
      </c>
      <c r="BI49" s="24">
        <f t="shared" si="20"/>
        <v>0</v>
      </c>
      <c r="BJ49" s="24">
        <f t="shared" si="21"/>
        <v>0</v>
      </c>
      <c r="BK49" s="24"/>
      <c r="BL49" s="24">
        <v>766</v>
      </c>
      <c r="BW49" s="24">
        <v>0</v>
      </c>
      <c r="BX49" s="4" t="s">
        <v>159</v>
      </c>
    </row>
    <row r="50" spans="1:76" x14ac:dyDescent="0.25">
      <c r="A50" s="2" t="s">
        <v>160</v>
      </c>
      <c r="B50" s="3" t="s">
        <v>161</v>
      </c>
      <c r="C50" s="83" t="s">
        <v>162</v>
      </c>
      <c r="D50" s="84"/>
      <c r="E50" s="3" t="s">
        <v>104</v>
      </c>
      <c r="F50" s="24">
        <v>2</v>
      </c>
      <c r="G50" s="24">
        <v>0</v>
      </c>
      <c r="H50" s="24">
        <f t="shared" si="0"/>
        <v>0</v>
      </c>
      <c r="I50" s="24">
        <f t="shared" si="1"/>
        <v>0</v>
      </c>
      <c r="J50" s="24">
        <f t="shared" si="2"/>
        <v>0</v>
      </c>
      <c r="K50" s="25" t="s">
        <v>58</v>
      </c>
      <c r="Z50" s="24">
        <f t="shared" si="3"/>
        <v>0</v>
      </c>
      <c r="AB50" s="24">
        <f t="shared" si="4"/>
        <v>0</v>
      </c>
      <c r="AC50" s="24">
        <f t="shared" si="5"/>
        <v>0</v>
      </c>
      <c r="AD50" s="24">
        <f t="shared" si="6"/>
        <v>0</v>
      </c>
      <c r="AE50" s="24">
        <f t="shared" si="7"/>
        <v>0</v>
      </c>
      <c r="AF50" s="24">
        <f t="shared" si="8"/>
        <v>0</v>
      </c>
      <c r="AG50" s="24">
        <f t="shared" si="9"/>
        <v>0</v>
      </c>
      <c r="AH50" s="24">
        <f t="shared" si="10"/>
        <v>0</v>
      </c>
      <c r="AI50" s="10" t="s">
        <v>51</v>
      </c>
      <c r="AJ50" s="24">
        <f t="shared" si="11"/>
        <v>0</v>
      </c>
      <c r="AK50" s="24">
        <f t="shared" si="12"/>
        <v>0</v>
      </c>
      <c r="AL50" s="24">
        <f t="shared" si="13"/>
        <v>0</v>
      </c>
      <c r="AN50" s="24">
        <v>0</v>
      </c>
      <c r="AO50" s="24">
        <f>G50*1</f>
        <v>0</v>
      </c>
      <c r="AP50" s="24">
        <f>G50*(1-1)</f>
        <v>0</v>
      </c>
      <c r="AQ50" s="26" t="s">
        <v>85</v>
      </c>
      <c r="AV50" s="24">
        <f t="shared" si="14"/>
        <v>0</v>
      </c>
      <c r="AW50" s="24">
        <f t="shared" si="15"/>
        <v>0</v>
      </c>
      <c r="AX50" s="24">
        <f t="shared" si="16"/>
        <v>0</v>
      </c>
      <c r="AY50" s="26" t="s">
        <v>152</v>
      </c>
      <c r="AZ50" s="26" t="s">
        <v>153</v>
      </c>
      <c r="BA50" s="10" t="s">
        <v>61</v>
      </c>
      <c r="BC50" s="24">
        <f t="shared" si="17"/>
        <v>0</v>
      </c>
      <c r="BD50" s="24">
        <f t="shared" si="18"/>
        <v>0</v>
      </c>
      <c r="BE50" s="24">
        <v>0</v>
      </c>
      <c r="BF50" s="24">
        <f>50</f>
        <v>50</v>
      </c>
      <c r="BH50" s="24">
        <f t="shared" si="19"/>
        <v>0</v>
      </c>
      <c r="BI50" s="24">
        <f t="shared" si="20"/>
        <v>0</v>
      </c>
      <c r="BJ50" s="24">
        <f t="shared" si="21"/>
        <v>0</v>
      </c>
      <c r="BK50" s="24"/>
      <c r="BL50" s="24">
        <v>766</v>
      </c>
      <c r="BW50" s="24">
        <v>0</v>
      </c>
      <c r="BX50" s="4" t="s">
        <v>162</v>
      </c>
    </row>
    <row r="51" spans="1:76" x14ac:dyDescent="0.25">
      <c r="A51" s="2" t="s">
        <v>163</v>
      </c>
      <c r="B51" s="3" t="s">
        <v>164</v>
      </c>
      <c r="C51" s="83" t="s">
        <v>165</v>
      </c>
      <c r="D51" s="84"/>
      <c r="E51" s="3" t="s">
        <v>104</v>
      </c>
      <c r="F51" s="24">
        <v>2</v>
      </c>
      <c r="G51" s="24">
        <v>0</v>
      </c>
      <c r="H51" s="24">
        <f t="shared" si="0"/>
        <v>0</v>
      </c>
      <c r="I51" s="24">
        <f t="shared" si="1"/>
        <v>0</v>
      </c>
      <c r="J51" s="24">
        <f t="shared" si="2"/>
        <v>0</v>
      </c>
      <c r="K51" s="25" t="s">
        <v>58</v>
      </c>
      <c r="Z51" s="24">
        <f t="shared" si="3"/>
        <v>0</v>
      </c>
      <c r="AB51" s="24">
        <f t="shared" si="4"/>
        <v>0</v>
      </c>
      <c r="AC51" s="24">
        <f t="shared" si="5"/>
        <v>0</v>
      </c>
      <c r="AD51" s="24">
        <f t="shared" si="6"/>
        <v>0</v>
      </c>
      <c r="AE51" s="24">
        <f t="shared" si="7"/>
        <v>0</v>
      </c>
      <c r="AF51" s="24">
        <f t="shared" si="8"/>
        <v>0</v>
      </c>
      <c r="AG51" s="24">
        <f t="shared" si="9"/>
        <v>0</v>
      </c>
      <c r="AH51" s="24">
        <f t="shared" si="10"/>
        <v>0</v>
      </c>
      <c r="AI51" s="10" t="s">
        <v>51</v>
      </c>
      <c r="AJ51" s="24">
        <f t="shared" si="11"/>
        <v>0</v>
      </c>
      <c r="AK51" s="24">
        <f t="shared" si="12"/>
        <v>0</v>
      </c>
      <c r="AL51" s="24">
        <f t="shared" si="13"/>
        <v>0</v>
      </c>
      <c r="AN51" s="24">
        <v>0</v>
      </c>
      <c r="AO51" s="24">
        <f>G51*1</f>
        <v>0</v>
      </c>
      <c r="AP51" s="24">
        <f>G51*(1-1)</f>
        <v>0</v>
      </c>
      <c r="AQ51" s="26" t="s">
        <v>85</v>
      </c>
      <c r="AV51" s="24">
        <f t="shared" si="14"/>
        <v>0</v>
      </c>
      <c r="AW51" s="24">
        <f t="shared" si="15"/>
        <v>0</v>
      </c>
      <c r="AX51" s="24">
        <f t="shared" si="16"/>
        <v>0</v>
      </c>
      <c r="AY51" s="26" t="s">
        <v>152</v>
      </c>
      <c r="AZ51" s="26" t="s">
        <v>153</v>
      </c>
      <c r="BA51" s="10" t="s">
        <v>61</v>
      </c>
      <c r="BC51" s="24">
        <f t="shared" si="17"/>
        <v>0</v>
      </c>
      <c r="BD51" s="24">
        <f t="shared" si="18"/>
        <v>0</v>
      </c>
      <c r="BE51" s="24">
        <v>0</v>
      </c>
      <c r="BF51" s="24">
        <f>51</f>
        <v>51</v>
      </c>
      <c r="BH51" s="24">
        <f t="shared" si="19"/>
        <v>0</v>
      </c>
      <c r="BI51" s="24">
        <f t="shared" si="20"/>
        <v>0</v>
      </c>
      <c r="BJ51" s="24">
        <f t="shared" si="21"/>
        <v>0</v>
      </c>
      <c r="BK51" s="24"/>
      <c r="BL51" s="24">
        <v>766</v>
      </c>
      <c r="BW51" s="24">
        <v>0</v>
      </c>
      <c r="BX51" s="4" t="s">
        <v>165</v>
      </c>
    </row>
    <row r="52" spans="1:76" x14ac:dyDescent="0.25">
      <c r="A52" s="2" t="s">
        <v>166</v>
      </c>
      <c r="B52" s="3" t="s">
        <v>167</v>
      </c>
      <c r="C52" s="83" t="s">
        <v>168</v>
      </c>
      <c r="D52" s="84"/>
      <c r="E52" s="3" t="s">
        <v>104</v>
      </c>
      <c r="F52" s="24">
        <v>1</v>
      </c>
      <c r="G52" s="24">
        <v>0</v>
      </c>
      <c r="H52" s="24">
        <f t="shared" si="0"/>
        <v>0</v>
      </c>
      <c r="I52" s="24">
        <f t="shared" si="1"/>
        <v>0</v>
      </c>
      <c r="J52" s="24">
        <f t="shared" si="2"/>
        <v>0</v>
      </c>
      <c r="K52" s="25" t="s">
        <v>58</v>
      </c>
      <c r="Z52" s="24">
        <f t="shared" si="3"/>
        <v>0</v>
      </c>
      <c r="AB52" s="24">
        <f t="shared" si="4"/>
        <v>0</v>
      </c>
      <c r="AC52" s="24">
        <f t="shared" si="5"/>
        <v>0</v>
      </c>
      <c r="AD52" s="24">
        <f t="shared" si="6"/>
        <v>0</v>
      </c>
      <c r="AE52" s="24">
        <f t="shared" si="7"/>
        <v>0</v>
      </c>
      <c r="AF52" s="24">
        <f t="shared" si="8"/>
        <v>0</v>
      </c>
      <c r="AG52" s="24">
        <f t="shared" si="9"/>
        <v>0</v>
      </c>
      <c r="AH52" s="24">
        <f t="shared" si="10"/>
        <v>0</v>
      </c>
      <c r="AI52" s="10" t="s">
        <v>51</v>
      </c>
      <c r="AJ52" s="24">
        <f t="shared" si="11"/>
        <v>0</v>
      </c>
      <c r="AK52" s="24">
        <f t="shared" si="12"/>
        <v>0</v>
      </c>
      <c r="AL52" s="24">
        <f t="shared" si="13"/>
        <v>0</v>
      </c>
      <c r="AN52" s="24">
        <v>0</v>
      </c>
      <c r="AO52" s="24">
        <f>G52*1</f>
        <v>0</v>
      </c>
      <c r="AP52" s="24">
        <f>G52*(1-1)</f>
        <v>0</v>
      </c>
      <c r="AQ52" s="26" t="s">
        <v>85</v>
      </c>
      <c r="AV52" s="24">
        <f t="shared" si="14"/>
        <v>0</v>
      </c>
      <c r="AW52" s="24">
        <f t="shared" si="15"/>
        <v>0</v>
      </c>
      <c r="AX52" s="24">
        <f t="shared" si="16"/>
        <v>0</v>
      </c>
      <c r="AY52" s="26" t="s">
        <v>152</v>
      </c>
      <c r="AZ52" s="26" t="s">
        <v>153</v>
      </c>
      <c r="BA52" s="10" t="s">
        <v>61</v>
      </c>
      <c r="BC52" s="24">
        <f t="shared" si="17"/>
        <v>0</v>
      </c>
      <c r="BD52" s="24">
        <f t="shared" si="18"/>
        <v>0</v>
      </c>
      <c r="BE52" s="24">
        <v>0</v>
      </c>
      <c r="BF52" s="24">
        <f>52</f>
        <v>52</v>
      </c>
      <c r="BH52" s="24">
        <f t="shared" si="19"/>
        <v>0</v>
      </c>
      <c r="BI52" s="24">
        <f t="shared" si="20"/>
        <v>0</v>
      </c>
      <c r="BJ52" s="24">
        <f t="shared" si="21"/>
        <v>0</v>
      </c>
      <c r="BK52" s="24"/>
      <c r="BL52" s="24">
        <v>766</v>
      </c>
      <c r="BW52" s="24">
        <v>0</v>
      </c>
      <c r="BX52" s="4" t="s">
        <v>168</v>
      </c>
    </row>
    <row r="53" spans="1:76" x14ac:dyDescent="0.25">
      <c r="A53" s="29" t="s">
        <v>51</v>
      </c>
      <c r="B53" s="30" t="s">
        <v>169</v>
      </c>
      <c r="C53" s="153" t="s">
        <v>170</v>
      </c>
      <c r="D53" s="154"/>
      <c r="E53" s="31" t="s">
        <v>4</v>
      </c>
      <c r="F53" s="31" t="s">
        <v>4</v>
      </c>
      <c r="G53" s="31" t="s">
        <v>4</v>
      </c>
      <c r="H53" s="1">
        <f>SUM(H54:H57)</f>
        <v>0</v>
      </c>
      <c r="I53" s="1">
        <f>SUM(I54:I57)</f>
        <v>0</v>
      </c>
      <c r="J53" s="1">
        <f>SUM(J54:J57)</f>
        <v>0</v>
      </c>
      <c r="K53" s="32" t="s">
        <v>51</v>
      </c>
      <c r="AI53" s="10" t="s">
        <v>51</v>
      </c>
      <c r="AS53" s="1">
        <f>SUM(AJ54:AJ57)</f>
        <v>0</v>
      </c>
      <c r="AT53" s="1">
        <f>SUM(AK54:AK57)</f>
        <v>0</v>
      </c>
      <c r="AU53" s="1">
        <f>SUM(AL54:AL57)</f>
        <v>0</v>
      </c>
    </row>
    <row r="54" spans="1:76" x14ac:dyDescent="0.25">
      <c r="A54" s="2" t="s">
        <v>171</v>
      </c>
      <c r="B54" s="3" t="s">
        <v>172</v>
      </c>
      <c r="C54" s="83" t="s">
        <v>173</v>
      </c>
      <c r="D54" s="84"/>
      <c r="E54" s="3" t="s">
        <v>57</v>
      </c>
      <c r="F54" s="24">
        <v>13.8</v>
      </c>
      <c r="G54" s="24">
        <v>0</v>
      </c>
      <c r="H54" s="24">
        <f>ROUND(F54*AO54,2)</f>
        <v>0</v>
      </c>
      <c r="I54" s="24">
        <f>ROUND(F54*AP54,2)</f>
        <v>0</v>
      </c>
      <c r="J54" s="24">
        <f>ROUND(F54*G54,2)</f>
        <v>0</v>
      </c>
      <c r="K54" s="25" t="s">
        <v>58</v>
      </c>
      <c r="Z54" s="24">
        <f>ROUND(IF(AQ54="5",BJ54,0),2)</f>
        <v>0</v>
      </c>
      <c r="AB54" s="24">
        <f>ROUND(IF(AQ54="1",BH54,0),2)</f>
        <v>0</v>
      </c>
      <c r="AC54" s="24">
        <f>ROUND(IF(AQ54="1",BI54,0),2)</f>
        <v>0</v>
      </c>
      <c r="AD54" s="24">
        <f>ROUND(IF(AQ54="7",BH54,0),2)</f>
        <v>0</v>
      </c>
      <c r="AE54" s="24">
        <f>ROUND(IF(AQ54="7",BI54,0),2)</f>
        <v>0</v>
      </c>
      <c r="AF54" s="24">
        <f>ROUND(IF(AQ54="2",BH54,0),2)</f>
        <v>0</v>
      </c>
      <c r="AG54" s="24">
        <f>ROUND(IF(AQ54="2",BI54,0),2)</f>
        <v>0</v>
      </c>
      <c r="AH54" s="24">
        <f>ROUND(IF(AQ54="0",BJ54,0),2)</f>
        <v>0</v>
      </c>
      <c r="AI54" s="10" t="s">
        <v>51</v>
      </c>
      <c r="AJ54" s="24">
        <f>IF(AN54=0,J54,0)</f>
        <v>0</v>
      </c>
      <c r="AK54" s="24">
        <f>IF(AN54=12,J54,0)</f>
        <v>0</v>
      </c>
      <c r="AL54" s="24">
        <f>IF(AN54=21,J54,0)</f>
        <v>0</v>
      </c>
      <c r="AN54" s="24">
        <v>0</v>
      </c>
      <c r="AO54" s="24">
        <f>G54*0.734347757</f>
        <v>0</v>
      </c>
      <c r="AP54" s="24">
        <f>G54*(1-0.734347757)</f>
        <v>0</v>
      </c>
      <c r="AQ54" s="26" t="s">
        <v>85</v>
      </c>
      <c r="AV54" s="24">
        <f>ROUND(AW54+AX54,2)</f>
        <v>0</v>
      </c>
      <c r="AW54" s="24">
        <f>ROUND(F54*AO54,2)</f>
        <v>0</v>
      </c>
      <c r="AX54" s="24">
        <f>ROUND(F54*AP54,2)</f>
        <v>0</v>
      </c>
      <c r="AY54" s="26" t="s">
        <v>174</v>
      </c>
      <c r="AZ54" s="26" t="s">
        <v>153</v>
      </c>
      <c r="BA54" s="10" t="s">
        <v>61</v>
      </c>
      <c r="BC54" s="24">
        <f>AW54+AX54</f>
        <v>0</v>
      </c>
      <c r="BD54" s="24">
        <f>G54/(100-BE54)*100</f>
        <v>0</v>
      </c>
      <c r="BE54" s="24">
        <v>0</v>
      </c>
      <c r="BF54" s="24">
        <f>54</f>
        <v>54</v>
      </c>
      <c r="BH54" s="24">
        <f>F54*AO54</f>
        <v>0</v>
      </c>
      <c r="BI54" s="24">
        <f>F54*AP54</f>
        <v>0</v>
      </c>
      <c r="BJ54" s="24">
        <f>F54*G54</f>
        <v>0</v>
      </c>
      <c r="BK54" s="24"/>
      <c r="BL54" s="24">
        <v>767</v>
      </c>
      <c r="BW54" s="24">
        <v>0</v>
      </c>
      <c r="BX54" s="4" t="s">
        <v>173</v>
      </c>
    </row>
    <row r="55" spans="1:76" ht="13.5" customHeight="1" x14ac:dyDescent="0.25">
      <c r="A55" s="27"/>
      <c r="B55" s="28" t="s">
        <v>65</v>
      </c>
      <c r="C55" s="149" t="s">
        <v>175</v>
      </c>
      <c r="D55" s="150"/>
      <c r="E55" s="150"/>
      <c r="F55" s="150"/>
      <c r="G55" s="150"/>
      <c r="H55" s="150"/>
      <c r="I55" s="150"/>
      <c r="J55" s="150"/>
      <c r="K55" s="151"/>
    </row>
    <row r="56" spans="1:76" x14ac:dyDescent="0.25">
      <c r="A56" s="2" t="s">
        <v>176</v>
      </c>
      <c r="B56" s="3" t="s">
        <v>177</v>
      </c>
      <c r="C56" s="83" t="s">
        <v>178</v>
      </c>
      <c r="D56" s="84"/>
      <c r="E56" s="3" t="s">
        <v>179</v>
      </c>
      <c r="F56" s="24">
        <v>1</v>
      </c>
      <c r="G56" s="24">
        <v>0</v>
      </c>
      <c r="H56" s="24">
        <f>ROUND(F56*AO56,2)</f>
        <v>0</v>
      </c>
      <c r="I56" s="24">
        <f>ROUND(F56*AP56,2)</f>
        <v>0</v>
      </c>
      <c r="J56" s="24">
        <f>ROUND(F56*G56,2)</f>
        <v>0</v>
      </c>
      <c r="K56" s="25" t="s">
        <v>51</v>
      </c>
      <c r="Z56" s="24">
        <f>ROUND(IF(AQ56="5",BJ56,0),2)</f>
        <v>0</v>
      </c>
      <c r="AB56" s="24">
        <f>ROUND(IF(AQ56="1",BH56,0),2)</f>
        <v>0</v>
      </c>
      <c r="AC56" s="24">
        <f>ROUND(IF(AQ56="1",BI56,0),2)</f>
        <v>0</v>
      </c>
      <c r="AD56" s="24">
        <f>ROUND(IF(AQ56="7",BH56,0),2)</f>
        <v>0</v>
      </c>
      <c r="AE56" s="24">
        <f>ROUND(IF(AQ56="7",BI56,0),2)</f>
        <v>0</v>
      </c>
      <c r="AF56" s="24">
        <f>ROUND(IF(AQ56="2",BH56,0),2)</f>
        <v>0</v>
      </c>
      <c r="AG56" s="24">
        <f>ROUND(IF(AQ56="2",BI56,0),2)</f>
        <v>0</v>
      </c>
      <c r="AH56" s="24">
        <f>ROUND(IF(AQ56="0",BJ56,0),2)</f>
        <v>0</v>
      </c>
      <c r="AI56" s="10" t="s">
        <v>51</v>
      </c>
      <c r="AJ56" s="24">
        <f>IF(AN56=0,J56,0)</f>
        <v>0</v>
      </c>
      <c r="AK56" s="24">
        <f>IF(AN56=12,J56,0)</f>
        <v>0</v>
      </c>
      <c r="AL56" s="24">
        <f>IF(AN56=21,J56,0)</f>
        <v>0</v>
      </c>
      <c r="AN56" s="24">
        <v>0</v>
      </c>
      <c r="AO56" s="24">
        <f>G56*0.714285714</f>
        <v>0</v>
      </c>
      <c r="AP56" s="24">
        <f>G56*(1-0.714285714)</f>
        <v>0</v>
      </c>
      <c r="AQ56" s="26" t="s">
        <v>85</v>
      </c>
      <c r="AV56" s="24">
        <f>ROUND(AW56+AX56,2)</f>
        <v>0</v>
      </c>
      <c r="AW56" s="24">
        <f>ROUND(F56*AO56,2)</f>
        <v>0</v>
      </c>
      <c r="AX56" s="24">
        <f>ROUND(F56*AP56,2)</f>
        <v>0</v>
      </c>
      <c r="AY56" s="26" t="s">
        <v>174</v>
      </c>
      <c r="AZ56" s="26" t="s">
        <v>153</v>
      </c>
      <c r="BA56" s="10" t="s">
        <v>61</v>
      </c>
      <c r="BC56" s="24">
        <f>AW56+AX56</f>
        <v>0</v>
      </c>
      <c r="BD56" s="24">
        <f>G56/(100-BE56)*100</f>
        <v>0</v>
      </c>
      <c r="BE56" s="24">
        <v>0</v>
      </c>
      <c r="BF56" s="24">
        <f>56</f>
        <v>56</v>
      </c>
      <c r="BH56" s="24">
        <f>F56*AO56</f>
        <v>0</v>
      </c>
      <c r="BI56" s="24">
        <f>F56*AP56</f>
        <v>0</v>
      </c>
      <c r="BJ56" s="24">
        <f>F56*G56</f>
        <v>0</v>
      </c>
      <c r="BK56" s="24"/>
      <c r="BL56" s="24">
        <v>767</v>
      </c>
      <c r="BW56" s="24">
        <v>0</v>
      </c>
      <c r="BX56" s="4" t="s">
        <v>178</v>
      </c>
    </row>
    <row r="57" spans="1:76" x14ac:dyDescent="0.25">
      <c r="A57" s="2" t="s">
        <v>180</v>
      </c>
      <c r="B57" s="3" t="s">
        <v>181</v>
      </c>
      <c r="C57" s="83" t="s">
        <v>182</v>
      </c>
      <c r="D57" s="84"/>
      <c r="E57" s="3" t="s">
        <v>183</v>
      </c>
      <c r="F57" s="24">
        <v>1</v>
      </c>
      <c r="G57" s="24">
        <v>0</v>
      </c>
      <c r="H57" s="24">
        <f>ROUND(F57*AO57,2)</f>
        <v>0</v>
      </c>
      <c r="I57" s="24">
        <f>ROUND(F57*AP57,2)</f>
        <v>0</v>
      </c>
      <c r="J57" s="24">
        <f>ROUND(F57*G57,2)</f>
        <v>0</v>
      </c>
      <c r="K57" s="25" t="s">
        <v>51</v>
      </c>
      <c r="Z57" s="24">
        <f>ROUND(IF(AQ57="5",BJ57,0),2)</f>
        <v>0</v>
      </c>
      <c r="AB57" s="24">
        <f>ROUND(IF(AQ57="1",BH57,0),2)</f>
        <v>0</v>
      </c>
      <c r="AC57" s="24">
        <f>ROUND(IF(AQ57="1",BI57,0),2)</f>
        <v>0</v>
      </c>
      <c r="AD57" s="24">
        <f>ROUND(IF(AQ57="7",BH57,0),2)</f>
        <v>0</v>
      </c>
      <c r="AE57" s="24">
        <f>ROUND(IF(AQ57="7",BI57,0),2)</f>
        <v>0</v>
      </c>
      <c r="AF57" s="24">
        <f>ROUND(IF(AQ57="2",BH57,0),2)</f>
        <v>0</v>
      </c>
      <c r="AG57" s="24">
        <f>ROUND(IF(AQ57="2",BI57,0),2)</f>
        <v>0</v>
      </c>
      <c r="AH57" s="24">
        <f>ROUND(IF(AQ57="0",BJ57,0),2)</f>
        <v>0</v>
      </c>
      <c r="AI57" s="10" t="s">
        <v>51</v>
      </c>
      <c r="AJ57" s="24">
        <f>IF(AN57=0,J57,0)</f>
        <v>0</v>
      </c>
      <c r="AK57" s="24">
        <f>IF(AN57=12,J57,0)</f>
        <v>0</v>
      </c>
      <c r="AL57" s="24">
        <f>IF(AN57=21,J57,0)</f>
        <v>0</v>
      </c>
      <c r="AN57" s="24">
        <v>0</v>
      </c>
      <c r="AO57" s="24">
        <f>G57*0</f>
        <v>0</v>
      </c>
      <c r="AP57" s="24">
        <f>G57*(1-0)</f>
        <v>0</v>
      </c>
      <c r="AQ57" s="26" t="s">
        <v>85</v>
      </c>
      <c r="AV57" s="24">
        <f>ROUND(AW57+AX57,2)</f>
        <v>0</v>
      </c>
      <c r="AW57" s="24">
        <f>ROUND(F57*AO57,2)</f>
        <v>0</v>
      </c>
      <c r="AX57" s="24">
        <f>ROUND(F57*AP57,2)</f>
        <v>0</v>
      </c>
      <c r="AY57" s="26" t="s">
        <v>174</v>
      </c>
      <c r="AZ57" s="26" t="s">
        <v>153</v>
      </c>
      <c r="BA57" s="10" t="s">
        <v>61</v>
      </c>
      <c r="BC57" s="24">
        <f>AW57+AX57</f>
        <v>0</v>
      </c>
      <c r="BD57" s="24">
        <f>G57/(100-BE57)*100</f>
        <v>0</v>
      </c>
      <c r="BE57" s="24">
        <v>0</v>
      </c>
      <c r="BF57" s="24">
        <f>57</f>
        <v>57</v>
      </c>
      <c r="BH57" s="24">
        <f>F57*AO57</f>
        <v>0</v>
      </c>
      <c r="BI57" s="24">
        <f>F57*AP57</f>
        <v>0</v>
      </c>
      <c r="BJ57" s="24">
        <f>F57*G57</f>
        <v>0</v>
      </c>
      <c r="BK57" s="24"/>
      <c r="BL57" s="24">
        <v>767</v>
      </c>
      <c r="BW57" s="24">
        <v>0</v>
      </c>
      <c r="BX57" s="4" t="s">
        <v>182</v>
      </c>
    </row>
    <row r="58" spans="1:76" x14ac:dyDescent="0.25">
      <c r="A58" s="29" t="s">
        <v>51</v>
      </c>
      <c r="B58" s="30" t="s">
        <v>184</v>
      </c>
      <c r="C58" s="153" t="s">
        <v>185</v>
      </c>
      <c r="D58" s="154"/>
      <c r="E58" s="31" t="s">
        <v>4</v>
      </c>
      <c r="F58" s="31" t="s">
        <v>4</v>
      </c>
      <c r="G58" s="31" t="s">
        <v>4</v>
      </c>
      <c r="H58" s="1">
        <f>SUM(H59:H60)</f>
        <v>0</v>
      </c>
      <c r="I58" s="1">
        <f>SUM(I59:I60)</f>
        <v>0</v>
      </c>
      <c r="J58" s="1">
        <f>SUM(J59:J60)</f>
        <v>0</v>
      </c>
      <c r="K58" s="32" t="s">
        <v>51</v>
      </c>
      <c r="AI58" s="10" t="s">
        <v>51</v>
      </c>
      <c r="AS58" s="1">
        <f>SUM(AJ59:AJ60)</f>
        <v>0</v>
      </c>
      <c r="AT58" s="1">
        <f>SUM(AK59:AK60)</f>
        <v>0</v>
      </c>
      <c r="AU58" s="1">
        <f>SUM(AL59:AL60)</f>
        <v>0</v>
      </c>
    </row>
    <row r="59" spans="1:76" x14ac:dyDescent="0.25">
      <c r="A59" s="2" t="s">
        <v>186</v>
      </c>
      <c r="B59" s="3" t="s">
        <v>187</v>
      </c>
      <c r="C59" s="83" t="s">
        <v>188</v>
      </c>
      <c r="D59" s="84"/>
      <c r="E59" s="3" t="s">
        <v>57</v>
      </c>
      <c r="F59" s="24">
        <v>5.55</v>
      </c>
      <c r="G59" s="24">
        <v>0</v>
      </c>
      <c r="H59" s="24">
        <f>ROUND(F59*AO59,2)</f>
        <v>0</v>
      </c>
      <c r="I59" s="24">
        <f>ROUND(F59*AP59,2)</f>
        <v>0</v>
      </c>
      <c r="J59" s="24">
        <f>ROUND(F59*G59,2)</f>
        <v>0</v>
      </c>
      <c r="K59" s="25" t="s">
        <v>58</v>
      </c>
      <c r="Z59" s="24">
        <f>ROUND(IF(AQ59="5",BJ59,0),2)</f>
        <v>0</v>
      </c>
      <c r="AB59" s="24">
        <f>ROUND(IF(AQ59="1",BH59,0),2)</f>
        <v>0</v>
      </c>
      <c r="AC59" s="24">
        <f>ROUND(IF(AQ59="1",BI59,0),2)</f>
        <v>0</v>
      </c>
      <c r="AD59" s="24">
        <f>ROUND(IF(AQ59="7",BH59,0),2)</f>
        <v>0</v>
      </c>
      <c r="AE59" s="24">
        <f>ROUND(IF(AQ59="7",BI59,0),2)</f>
        <v>0</v>
      </c>
      <c r="AF59" s="24">
        <f>ROUND(IF(AQ59="2",BH59,0),2)</f>
        <v>0</v>
      </c>
      <c r="AG59" s="24">
        <f>ROUND(IF(AQ59="2",BI59,0),2)</f>
        <v>0</v>
      </c>
      <c r="AH59" s="24">
        <f>ROUND(IF(AQ59="0",BJ59,0),2)</f>
        <v>0</v>
      </c>
      <c r="AI59" s="10" t="s">
        <v>51</v>
      </c>
      <c r="AJ59" s="24">
        <f>IF(AN59=0,J59,0)</f>
        <v>0</v>
      </c>
      <c r="AK59" s="24">
        <f>IF(AN59=12,J59,0)</f>
        <v>0</v>
      </c>
      <c r="AL59" s="24">
        <f>IF(AN59=21,J59,0)</f>
        <v>0</v>
      </c>
      <c r="AN59" s="24">
        <v>0</v>
      </c>
      <c r="AO59" s="24">
        <f>G59*0.205437135</f>
        <v>0</v>
      </c>
      <c r="AP59" s="24">
        <f>G59*(1-0.205437135)</f>
        <v>0</v>
      </c>
      <c r="AQ59" s="26" t="s">
        <v>85</v>
      </c>
      <c r="AV59" s="24">
        <f>ROUND(AW59+AX59,2)</f>
        <v>0</v>
      </c>
      <c r="AW59" s="24">
        <f>ROUND(F59*AO59,2)</f>
        <v>0</v>
      </c>
      <c r="AX59" s="24">
        <f>ROUND(F59*AP59,2)</f>
        <v>0</v>
      </c>
      <c r="AY59" s="26" t="s">
        <v>189</v>
      </c>
      <c r="AZ59" s="26" t="s">
        <v>190</v>
      </c>
      <c r="BA59" s="10" t="s">
        <v>61</v>
      </c>
      <c r="BC59" s="24">
        <f>AW59+AX59</f>
        <v>0</v>
      </c>
      <c r="BD59" s="24">
        <f>G59/(100-BE59)*100</f>
        <v>0</v>
      </c>
      <c r="BE59" s="24">
        <v>0</v>
      </c>
      <c r="BF59" s="24">
        <f>59</f>
        <v>59</v>
      </c>
      <c r="BH59" s="24">
        <f>F59*AO59</f>
        <v>0</v>
      </c>
      <c r="BI59" s="24">
        <f>F59*AP59</f>
        <v>0</v>
      </c>
      <c r="BJ59" s="24">
        <f>F59*G59</f>
        <v>0</v>
      </c>
      <c r="BK59" s="24"/>
      <c r="BL59" s="24">
        <v>771</v>
      </c>
      <c r="BW59" s="24">
        <v>0</v>
      </c>
      <c r="BX59" s="4" t="s">
        <v>188</v>
      </c>
    </row>
    <row r="60" spans="1:76" x14ac:dyDescent="0.25">
      <c r="A60" s="2" t="s">
        <v>191</v>
      </c>
      <c r="B60" s="3" t="s">
        <v>192</v>
      </c>
      <c r="C60" s="83" t="s">
        <v>193</v>
      </c>
      <c r="D60" s="84"/>
      <c r="E60" s="3" t="s">
        <v>57</v>
      </c>
      <c r="F60" s="24">
        <v>5.9939999999999998</v>
      </c>
      <c r="G60" s="24">
        <v>0</v>
      </c>
      <c r="H60" s="24">
        <f>ROUND(F60*AO60,2)</f>
        <v>0</v>
      </c>
      <c r="I60" s="24">
        <f>ROUND(F60*AP60,2)</f>
        <v>0</v>
      </c>
      <c r="J60" s="24">
        <f>ROUND(F60*G60,2)</f>
        <v>0</v>
      </c>
      <c r="K60" s="25" t="s">
        <v>51</v>
      </c>
      <c r="Z60" s="24">
        <f>ROUND(IF(AQ60="5",BJ60,0),2)</f>
        <v>0</v>
      </c>
      <c r="AB60" s="24">
        <f>ROUND(IF(AQ60="1",BH60,0),2)</f>
        <v>0</v>
      </c>
      <c r="AC60" s="24">
        <f>ROUND(IF(AQ60="1",BI60,0),2)</f>
        <v>0</v>
      </c>
      <c r="AD60" s="24">
        <f>ROUND(IF(AQ60="7",BH60,0),2)</f>
        <v>0</v>
      </c>
      <c r="AE60" s="24">
        <f>ROUND(IF(AQ60="7",BI60,0),2)</f>
        <v>0</v>
      </c>
      <c r="AF60" s="24">
        <f>ROUND(IF(AQ60="2",BH60,0),2)</f>
        <v>0</v>
      </c>
      <c r="AG60" s="24">
        <f>ROUND(IF(AQ60="2",BI60,0),2)</f>
        <v>0</v>
      </c>
      <c r="AH60" s="24">
        <f>ROUND(IF(AQ60="0",BJ60,0),2)</f>
        <v>0</v>
      </c>
      <c r="AI60" s="10" t="s">
        <v>51</v>
      </c>
      <c r="AJ60" s="24">
        <f>IF(AN60=0,J60,0)</f>
        <v>0</v>
      </c>
      <c r="AK60" s="24">
        <f>IF(AN60=12,J60,0)</f>
        <v>0</v>
      </c>
      <c r="AL60" s="24">
        <f>IF(AN60=21,J60,0)</f>
        <v>0</v>
      </c>
      <c r="AN60" s="24">
        <v>0</v>
      </c>
      <c r="AO60" s="24">
        <f>G60*1</f>
        <v>0</v>
      </c>
      <c r="AP60" s="24">
        <f>G60*(1-1)</f>
        <v>0</v>
      </c>
      <c r="AQ60" s="26" t="s">
        <v>85</v>
      </c>
      <c r="AV60" s="24">
        <f>ROUND(AW60+AX60,2)</f>
        <v>0</v>
      </c>
      <c r="AW60" s="24">
        <f>ROUND(F60*AO60,2)</f>
        <v>0</v>
      </c>
      <c r="AX60" s="24">
        <f>ROUND(F60*AP60,2)</f>
        <v>0</v>
      </c>
      <c r="AY60" s="26" t="s">
        <v>189</v>
      </c>
      <c r="AZ60" s="26" t="s">
        <v>190</v>
      </c>
      <c r="BA60" s="10" t="s">
        <v>61</v>
      </c>
      <c r="BC60" s="24">
        <f>AW60+AX60</f>
        <v>0</v>
      </c>
      <c r="BD60" s="24">
        <f>G60/(100-BE60)*100</f>
        <v>0</v>
      </c>
      <c r="BE60" s="24">
        <v>0</v>
      </c>
      <c r="BF60" s="24">
        <f>60</f>
        <v>60</v>
      </c>
      <c r="BH60" s="24">
        <f>F60*AO60</f>
        <v>0</v>
      </c>
      <c r="BI60" s="24">
        <f>F60*AP60</f>
        <v>0</v>
      </c>
      <c r="BJ60" s="24">
        <f>F60*G60</f>
        <v>0</v>
      </c>
      <c r="BK60" s="24"/>
      <c r="BL60" s="24">
        <v>771</v>
      </c>
      <c r="BW60" s="24">
        <v>0</v>
      </c>
      <c r="BX60" s="4" t="s">
        <v>193</v>
      </c>
    </row>
    <row r="61" spans="1:76" x14ac:dyDescent="0.25">
      <c r="A61" s="29" t="s">
        <v>51</v>
      </c>
      <c r="B61" s="30" t="s">
        <v>194</v>
      </c>
      <c r="C61" s="153" t="s">
        <v>195</v>
      </c>
      <c r="D61" s="154"/>
      <c r="E61" s="31" t="s">
        <v>4</v>
      </c>
      <c r="F61" s="31" t="s">
        <v>4</v>
      </c>
      <c r="G61" s="31" t="s">
        <v>4</v>
      </c>
      <c r="H61" s="1">
        <f>SUM(H62:H63)</f>
        <v>0</v>
      </c>
      <c r="I61" s="1">
        <f>SUM(I62:I63)</f>
        <v>0</v>
      </c>
      <c r="J61" s="1">
        <f>SUM(J62:J63)</f>
        <v>0</v>
      </c>
      <c r="K61" s="32" t="s">
        <v>51</v>
      </c>
      <c r="AI61" s="10" t="s">
        <v>51</v>
      </c>
      <c r="AS61" s="1">
        <f>SUM(AJ62:AJ63)</f>
        <v>0</v>
      </c>
      <c r="AT61" s="1">
        <f>SUM(AK62:AK63)</f>
        <v>0</v>
      </c>
      <c r="AU61" s="1">
        <f>SUM(AL62:AL63)</f>
        <v>0</v>
      </c>
    </row>
    <row r="62" spans="1:76" x14ac:dyDescent="0.25">
      <c r="A62" s="2" t="s">
        <v>196</v>
      </c>
      <c r="B62" s="3" t="s">
        <v>197</v>
      </c>
      <c r="C62" s="83" t="s">
        <v>198</v>
      </c>
      <c r="D62" s="84"/>
      <c r="E62" s="3" t="s">
        <v>57</v>
      </c>
      <c r="F62" s="24">
        <v>52.5</v>
      </c>
      <c r="G62" s="24">
        <v>0</v>
      </c>
      <c r="H62" s="24">
        <f>ROUND(F62*AO62,2)</f>
        <v>0</v>
      </c>
      <c r="I62" s="24">
        <f>ROUND(F62*AP62,2)</f>
        <v>0</v>
      </c>
      <c r="J62" s="24">
        <f>ROUND(F62*G62,2)</f>
        <v>0</v>
      </c>
      <c r="K62" s="25" t="s">
        <v>58</v>
      </c>
      <c r="Z62" s="24">
        <f>ROUND(IF(AQ62="5",BJ62,0),2)</f>
        <v>0</v>
      </c>
      <c r="AB62" s="24">
        <f>ROUND(IF(AQ62="1",BH62,0),2)</f>
        <v>0</v>
      </c>
      <c r="AC62" s="24">
        <f>ROUND(IF(AQ62="1",BI62,0),2)</f>
        <v>0</v>
      </c>
      <c r="AD62" s="24">
        <f>ROUND(IF(AQ62="7",BH62,0),2)</f>
        <v>0</v>
      </c>
      <c r="AE62" s="24">
        <f>ROUND(IF(AQ62="7",BI62,0),2)</f>
        <v>0</v>
      </c>
      <c r="AF62" s="24">
        <f>ROUND(IF(AQ62="2",BH62,0),2)</f>
        <v>0</v>
      </c>
      <c r="AG62" s="24">
        <f>ROUND(IF(AQ62="2",BI62,0),2)</f>
        <v>0</v>
      </c>
      <c r="AH62" s="24">
        <f>ROUND(IF(AQ62="0",BJ62,0),2)</f>
        <v>0</v>
      </c>
      <c r="AI62" s="10" t="s">
        <v>51</v>
      </c>
      <c r="AJ62" s="24">
        <f>IF(AN62=0,J62,0)</f>
        <v>0</v>
      </c>
      <c r="AK62" s="24">
        <f>IF(AN62=12,J62,0)</f>
        <v>0</v>
      </c>
      <c r="AL62" s="24">
        <f>IF(AN62=21,J62,0)</f>
        <v>0</v>
      </c>
      <c r="AN62" s="24">
        <v>0</v>
      </c>
      <c r="AO62" s="24">
        <f>G62*0</f>
        <v>0</v>
      </c>
      <c r="AP62" s="24">
        <f>G62*(1-0)</f>
        <v>0</v>
      </c>
      <c r="AQ62" s="26" t="s">
        <v>85</v>
      </c>
      <c r="AV62" s="24">
        <f>ROUND(AW62+AX62,2)</f>
        <v>0</v>
      </c>
      <c r="AW62" s="24">
        <f>ROUND(F62*AO62,2)</f>
        <v>0</v>
      </c>
      <c r="AX62" s="24">
        <f>ROUND(F62*AP62,2)</f>
        <v>0</v>
      </c>
      <c r="AY62" s="26" t="s">
        <v>199</v>
      </c>
      <c r="AZ62" s="26" t="s">
        <v>190</v>
      </c>
      <c r="BA62" s="10" t="s">
        <v>61</v>
      </c>
      <c r="BC62" s="24">
        <f>AW62+AX62</f>
        <v>0</v>
      </c>
      <c r="BD62" s="24">
        <f>G62/(100-BE62)*100</f>
        <v>0</v>
      </c>
      <c r="BE62" s="24">
        <v>0</v>
      </c>
      <c r="BF62" s="24">
        <f>62</f>
        <v>62</v>
      </c>
      <c r="BH62" s="24">
        <f>F62*AO62</f>
        <v>0</v>
      </c>
      <c r="BI62" s="24">
        <f>F62*AP62</f>
        <v>0</v>
      </c>
      <c r="BJ62" s="24">
        <f>F62*G62</f>
        <v>0</v>
      </c>
      <c r="BK62" s="24"/>
      <c r="BL62" s="24">
        <v>776</v>
      </c>
      <c r="BW62" s="24">
        <v>0</v>
      </c>
      <c r="BX62" s="4" t="s">
        <v>198</v>
      </c>
    </row>
    <row r="63" spans="1:76" x14ac:dyDescent="0.25">
      <c r="A63" s="2" t="s">
        <v>200</v>
      </c>
      <c r="B63" s="3" t="s">
        <v>201</v>
      </c>
      <c r="C63" s="83" t="s">
        <v>202</v>
      </c>
      <c r="D63" s="84"/>
      <c r="E63" s="3" t="s">
        <v>57</v>
      </c>
      <c r="F63" s="24">
        <v>46.15</v>
      </c>
      <c r="G63" s="24">
        <v>0</v>
      </c>
      <c r="H63" s="24">
        <f>ROUND(F63*AO63,2)</f>
        <v>0</v>
      </c>
      <c r="I63" s="24">
        <f>ROUND(F63*AP63,2)</f>
        <v>0</v>
      </c>
      <c r="J63" s="24">
        <f>ROUND(F63*G63,2)</f>
        <v>0</v>
      </c>
      <c r="K63" s="25" t="s">
        <v>58</v>
      </c>
      <c r="Z63" s="24">
        <f>ROUND(IF(AQ63="5",BJ63,0),2)</f>
        <v>0</v>
      </c>
      <c r="AB63" s="24">
        <f>ROUND(IF(AQ63="1",BH63,0),2)</f>
        <v>0</v>
      </c>
      <c r="AC63" s="24">
        <f>ROUND(IF(AQ63="1",BI63,0),2)</f>
        <v>0</v>
      </c>
      <c r="AD63" s="24">
        <f>ROUND(IF(AQ63="7",BH63,0),2)</f>
        <v>0</v>
      </c>
      <c r="AE63" s="24">
        <f>ROUND(IF(AQ63="7",BI63,0),2)</f>
        <v>0</v>
      </c>
      <c r="AF63" s="24">
        <f>ROUND(IF(AQ63="2",BH63,0),2)</f>
        <v>0</v>
      </c>
      <c r="AG63" s="24">
        <f>ROUND(IF(AQ63="2",BI63,0),2)</f>
        <v>0</v>
      </c>
      <c r="AH63" s="24">
        <f>ROUND(IF(AQ63="0",BJ63,0),2)</f>
        <v>0</v>
      </c>
      <c r="AI63" s="10" t="s">
        <v>51</v>
      </c>
      <c r="AJ63" s="24">
        <f>IF(AN63=0,J63,0)</f>
        <v>0</v>
      </c>
      <c r="AK63" s="24">
        <f>IF(AN63=12,J63,0)</f>
        <v>0</v>
      </c>
      <c r="AL63" s="24">
        <f>IF(AN63=21,J63,0)</f>
        <v>0</v>
      </c>
      <c r="AN63" s="24">
        <v>0</v>
      </c>
      <c r="AO63" s="24">
        <f>G63*0.755632826</f>
        <v>0</v>
      </c>
      <c r="AP63" s="24">
        <f>G63*(1-0.755632826)</f>
        <v>0</v>
      </c>
      <c r="AQ63" s="26" t="s">
        <v>85</v>
      </c>
      <c r="AV63" s="24">
        <f>ROUND(AW63+AX63,2)</f>
        <v>0</v>
      </c>
      <c r="AW63" s="24">
        <f>ROUND(F63*AO63,2)</f>
        <v>0</v>
      </c>
      <c r="AX63" s="24">
        <f>ROUND(F63*AP63,2)</f>
        <v>0</v>
      </c>
      <c r="AY63" s="26" t="s">
        <v>199</v>
      </c>
      <c r="AZ63" s="26" t="s">
        <v>190</v>
      </c>
      <c r="BA63" s="10" t="s">
        <v>61</v>
      </c>
      <c r="BC63" s="24">
        <f>AW63+AX63</f>
        <v>0</v>
      </c>
      <c r="BD63" s="24">
        <f>G63/(100-BE63)*100</f>
        <v>0</v>
      </c>
      <c r="BE63" s="24">
        <v>0</v>
      </c>
      <c r="BF63" s="24">
        <f>63</f>
        <v>63</v>
      </c>
      <c r="BH63" s="24">
        <f>F63*AO63</f>
        <v>0</v>
      </c>
      <c r="BI63" s="24">
        <f>F63*AP63</f>
        <v>0</v>
      </c>
      <c r="BJ63" s="24">
        <f>F63*G63</f>
        <v>0</v>
      </c>
      <c r="BK63" s="24"/>
      <c r="BL63" s="24">
        <v>776</v>
      </c>
      <c r="BW63" s="24">
        <v>0</v>
      </c>
      <c r="BX63" s="4" t="s">
        <v>202</v>
      </c>
    </row>
    <row r="64" spans="1:76" ht="13.5" customHeight="1" x14ac:dyDescent="0.25">
      <c r="A64" s="27"/>
      <c r="B64" s="28" t="s">
        <v>65</v>
      </c>
      <c r="C64" s="149" t="s">
        <v>203</v>
      </c>
      <c r="D64" s="150"/>
      <c r="E64" s="150"/>
      <c r="F64" s="150"/>
      <c r="G64" s="150"/>
      <c r="H64" s="150"/>
      <c r="I64" s="150"/>
      <c r="J64" s="150"/>
      <c r="K64" s="151"/>
    </row>
    <row r="65" spans="1:76" x14ac:dyDescent="0.25">
      <c r="A65" s="29" t="s">
        <v>51</v>
      </c>
      <c r="B65" s="30" t="s">
        <v>204</v>
      </c>
      <c r="C65" s="153" t="s">
        <v>205</v>
      </c>
      <c r="D65" s="154"/>
      <c r="E65" s="31" t="s">
        <v>4</v>
      </c>
      <c r="F65" s="31" t="s">
        <v>4</v>
      </c>
      <c r="G65" s="31" t="s">
        <v>4</v>
      </c>
      <c r="H65" s="1">
        <f>SUM(H66:H69)</f>
        <v>0</v>
      </c>
      <c r="I65" s="1">
        <f>SUM(I66:I69)</f>
        <v>0</v>
      </c>
      <c r="J65" s="1">
        <f>SUM(J66:J69)</f>
        <v>0</v>
      </c>
      <c r="K65" s="32" t="s">
        <v>51</v>
      </c>
      <c r="AI65" s="10" t="s">
        <v>51</v>
      </c>
      <c r="AS65" s="1">
        <f>SUM(AJ66:AJ69)</f>
        <v>0</v>
      </c>
      <c r="AT65" s="1">
        <f>SUM(AK66:AK69)</f>
        <v>0</v>
      </c>
      <c r="AU65" s="1">
        <f>SUM(AL66:AL69)</f>
        <v>0</v>
      </c>
    </row>
    <row r="66" spans="1:76" x14ac:dyDescent="0.25">
      <c r="A66" s="2" t="s">
        <v>206</v>
      </c>
      <c r="B66" s="3" t="s">
        <v>207</v>
      </c>
      <c r="C66" s="83" t="s">
        <v>208</v>
      </c>
      <c r="D66" s="84"/>
      <c r="E66" s="3" t="s">
        <v>57</v>
      </c>
      <c r="F66" s="24">
        <v>9.64</v>
      </c>
      <c r="G66" s="24">
        <v>0</v>
      </c>
      <c r="H66" s="24">
        <f>ROUND(F66*AO66,2)</f>
        <v>0</v>
      </c>
      <c r="I66" s="24">
        <f>ROUND(F66*AP66,2)</f>
        <v>0</v>
      </c>
      <c r="J66" s="24">
        <f>ROUND(F66*G66,2)</f>
        <v>0</v>
      </c>
      <c r="K66" s="25" t="s">
        <v>58</v>
      </c>
      <c r="Z66" s="24">
        <f>ROUND(IF(AQ66="5",BJ66,0),2)</f>
        <v>0</v>
      </c>
      <c r="AB66" s="24">
        <f>ROUND(IF(AQ66="1",BH66,0),2)</f>
        <v>0</v>
      </c>
      <c r="AC66" s="24">
        <f>ROUND(IF(AQ66="1",BI66,0),2)</f>
        <v>0</v>
      </c>
      <c r="AD66" s="24">
        <f>ROUND(IF(AQ66="7",BH66,0),2)</f>
        <v>0</v>
      </c>
      <c r="AE66" s="24">
        <f>ROUND(IF(AQ66="7",BI66,0),2)</f>
        <v>0</v>
      </c>
      <c r="AF66" s="24">
        <f>ROUND(IF(AQ66="2",BH66,0),2)</f>
        <v>0</v>
      </c>
      <c r="AG66" s="24">
        <f>ROUND(IF(AQ66="2",BI66,0),2)</f>
        <v>0</v>
      </c>
      <c r="AH66" s="24">
        <f>ROUND(IF(AQ66="0",BJ66,0),2)</f>
        <v>0</v>
      </c>
      <c r="AI66" s="10" t="s">
        <v>51</v>
      </c>
      <c r="AJ66" s="24">
        <f>IF(AN66=0,J66,0)</f>
        <v>0</v>
      </c>
      <c r="AK66" s="24">
        <f>IF(AN66=12,J66,0)</f>
        <v>0</v>
      </c>
      <c r="AL66" s="24">
        <f>IF(AN66=21,J66,0)</f>
        <v>0</v>
      </c>
      <c r="AN66" s="24">
        <v>0</v>
      </c>
      <c r="AO66" s="24">
        <f>G66*0.469420676</f>
        <v>0</v>
      </c>
      <c r="AP66" s="24">
        <f>G66*(1-0.469420676)</f>
        <v>0</v>
      </c>
      <c r="AQ66" s="26" t="s">
        <v>85</v>
      </c>
      <c r="AV66" s="24">
        <f>ROUND(AW66+AX66,2)</f>
        <v>0</v>
      </c>
      <c r="AW66" s="24">
        <f>ROUND(F66*AO66,2)</f>
        <v>0</v>
      </c>
      <c r="AX66" s="24">
        <f>ROUND(F66*AP66,2)</f>
        <v>0</v>
      </c>
      <c r="AY66" s="26" t="s">
        <v>209</v>
      </c>
      <c r="AZ66" s="26" t="s">
        <v>210</v>
      </c>
      <c r="BA66" s="10" t="s">
        <v>61</v>
      </c>
      <c r="BC66" s="24">
        <f>AW66+AX66</f>
        <v>0</v>
      </c>
      <c r="BD66" s="24">
        <f>G66/(100-BE66)*100</f>
        <v>0</v>
      </c>
      <c r="BE66" s="24">
        <v>0</v>
      </c>
      <c r="BF66" s="24">
        <f>66</f>
        <v>66</v>
      </c>
      <c r="BH66" s="24">
        <f>F66*AO66</f>
        <v>0</v>
      </c>
      <c r="BI66" s="24">
        <f>F66*AP66</f>
        <v>0</v>
      </c>
      <c r="BJ66" s="24">
        <f>F66*G66</f>
        <v>0</v>
      </c>
      <c r="BK66" s="24"/>
      <c r="BL66" s="24">
        <v>781</v>
      </c>
      <c r="BW66" s="24">
        <v>0</v>
      </c>
      <c r="BX66" s="4" t="s">
        <v>208</v>
      </c>
    </row>
    <row r="67" spans="1:76" ht="13.5" customHeight="1" x14ac:dyDescent="0.25">
      <c r="A67" s="27"/>
      <c r="B67" s="28" t="s">
        <v>65</v>
      </c>
      <c r="C67" s="149" t="s">
        <v>211</v>
      </c>
      <c r="D67" s="150"/>
      <c r="E67" s="150"/>
      <c r="F67" s="150"/>
      <c r="G67" s="150"/>
      <c r="H67" s="150"/>
      <c r="I67" s="150"/>
      <c r="J67" s="150"/>
      <c r="K67" s="151"/>
    </row>
    <row r="68" spans="1:76" x14ac:dyDescent="0.25">
      <c r="A68" s="2" t="s">
        <v>212</v>
      </c>
      <c r="B68" s="3" t="s">
        <v>213</v>
      </c>
      <c r="C68" s="83" t="s">
        <v>214</v>
      </c>
      <c r="D68" s="84"/>
      <c r="E68" s="3" t="s">
        <v>57</v>
      </c>
      <c r="F68" s="24">
        <v>10.61</v>
      </c>
      <c r="G68" s="24">
        <v>0</v>
      </c>
      <c r="H68" s="24">
        <f>ROUND(F68*AO68,2)</f>
        <v>0</v>
      </c>
      <c r="I68" s="24">
        <f>ROUND(F68*AP68,2)</f>
        <v>0</v>
      </c>
      <c r="J68" s="24">
        <f>ROUND(F68*G68,2)</f>
        <v>0</v>
      </c>
      <c r="K68" s="25" t="s">
        <v>58</v>
      </c>
      <c r="Z68" s="24">
        <f>ROUND(IF(AQ68="5",BJ68,0),2)</f>
        <v>0</v>
      </c>
      <c r="AB68" s="24">
        <f>ROUND(IF(AQ68="1",BH68,0),2)</f>
        <v>0</v>
      </c>
      <c r="AC68" s="24">
        <f>ROUND(IF(AQ68="1",BI68,0),2)</f>
        <v>0</v>
      </c>
      <c r="AD68" s="24">
        <f>ROUND(IF(AQ68="7",BH68,0),2)</f>
        <v>0</v>
      </c>
      <c r="AE68" s="24">
        <f>ROUND(IF(AQ68="7",BI68,0),2)</f>
        <v>0</v>
      </c>
      <c r="AF68" s="24">
        <f>ROUND(IF(AQ68="2",BH68,0),2)</f>
        <v>0</v>
      </c>
      <c r="AG68" s="24">
        <f>ROUND(IF(AQ68="2",BI68,0),2)</f>
        <v>0</v>
      </c>
      <c r="AH68" s="24">
        <f>ROUND(IF(AQ68="0",BJ68,0),2)</f>
        <v>0</v>
      </c>
      <c r="AI68" s="10" t="s">
        <v>51</v>
      </c>
      <c r="AJ68" s="24">
        <f>IF(AN68=0,J68,0)</f>
        <v>0</v>
      </c>
      <c r="AK68" s="24">
        <f>IF(AN68=12,J68,0)</f>
        <v>0</v>
      </c>
      <c r="AL68" s="24">
        <f>IF(AN68=21,J68,0)</f>
        <v>0</v>
      </c>
      <c r="AN68" s="24">
        <v>0</v>
      </c>
      <c r="AO68" s="24">
        <f>G68*0</f>
        <v>0</v>
      </c>
      <c r="AP68" s="24">
        <f>G68*(1-0)</f>
        <v>0</v>
      </c>
      <c r="AQ68" s="26" t="s">
        <v>85</v>
      </c>
      <c r="AV68" s="24">
        <f>ROUND(AW68+AX68,2)</f>
        <v>0</v>
      </c>
      <c r="AW68" s="24">
        <f>ROUND(F68*AO68,2)</f>
        <v>0</v>
      </c>
      <c r="AX68" s="24">
        <f>ROUND(F68*AP68,2)</f>
        <v>0</v>
      </c>
      <c r="AY68" s="26" t="s">
        <v>209</v>
      </c>
      <c r="AZ68" s="26" t="s">
        <v>210</v>
      </c>
      <c r="BA68" s="10" t="s">
        <v>61</v>
      </c>
      <c r="BC68" s="24">
        <f>AW68+AX68</f>
        <v>0</v>
      </c>
      <c r="BD68" s="24">
        <f>G68/(100-BE68)*100</f>
        <v>0</v>
      </c>
      <c r="BE68" s="24">
        <v>0</v>
      </c>
      <c r="BF68" s="24">
        <f>68</f>
        <v>68</v>
      </c>
      <c r="BH68" s="24">
        <f>F68*AO68</f>
        <v>0</v>
      </c>
      <c r="BI68" s="24">
        <f>F68*AP68</f>
        <v>0</v>
      </c>
      <c r="BJ68" s="24">
        <f>F68*G68</f>
        <v>0</v>
      </c>
      <c r="BK68" s="24"/>
      <c r="BL68" s="24">
        <v>781</v>
      </c>
      <c r="BW68" s="24">
        <v>0</v>
      </c>
      <c r="BX68" s="4" t="s">
        <v>214</v>
      </c>
    </row>
    <row r="69" spans="1:76" x14ac:dyDescent="0.25">
      <c r="A69" s="2" t="s">
        <v>215</v>
      </c>
      <c r="B69" s="3" t="s">
        <v>216</v>
      </c>
      <c r="C69" s="83" t="s">
        <v>217</v>
      </c>
      <c r="D69" s="84"/>
      <c r="E69" s="3" t="s">
        <v>57</v>
      </c>
      <c r="F69" s="24">
        <v>21.87</v>
      </c>
      <c r="G69" s="24">
        <v>0</v>
      </c>
      <c r="H69" s="24">
        <f>ROUND(F69*AO69,2)</f>
        <v>0</v>
      </c>
      <c r="I69" s="24">
        <f>ROUND(F69*AP69,2)</f>
        <v>0</v>
      </c>
      <c r="J69" s="24">
        <f>ROUND(F69*G69,2)</f>
        <v>0</v>
      </c>
      <c r="K69" s="25" t="s">
        <v>51</v>
      </c>
      <c r="Z69" s="24">
        <f>ROUND(IF(AQ69="5",BJ69,0),2)</f>
        <v>0</v>
      </c>
      <c r="AB69" s="24">
        <f>ROUND(IF(AQ69="1",BH69,0),2)</f>
        <v>0</v>
      </c>
      <c r="AC69" s="24">
        <f>ROUND(IF(AQ69="1",BI69,0),2)</f>
        <v>0</v>
      </c>
      <c r="AD69" s="24">
        <f>ROUND(IF(AQ69="7",BH69,0),2)</f>
        <v>0</v>
      </c>
      <c r="AE69" s="24">
        <f>ROUND(IF(AQ69="7",BI69,0),2)</f>
        <v>0</v>
      </c>
      <c r="AF69" s="24">
        <f>ROUND(IF(AQ69="2",BH69,0),2)</f>
        <v>0</v>
      </c>
      <c r="AG69" s="24">
        <f>ROUND(IF(AQ69="2",BI69,0),2)</f>
        <v>0</v>
      </c>
      <c r="AH69" s="24">
        <f>ROUND(IF(AQ69="0",BJ69,0),2)</f>
        <v>0</v>
      </c>
      <c r="AI69" s="10" t="s">
        <v>51</v>
      </c>
      <c r="AJ69" s="24">
        <f>IF(AN69=0,J69,0)</f>
        <v>0</v>
      </c>
      <c r="AK69" s="24">
        <f>IF(AN69=12,J69,0)</f>
        <v>0</v>
      </c>
      <c r="AL69" s="24">
        <f>IF(AN69=21,J69,0)</f>
        <v>0</v>
      </c>
      <c r="AN69" s="24">
        <v>0</v>
      </c>
      <c r="AO69" s="24">
        <f>G69*1</f>
        <v>0</v>
      </c>
      <c r="AP69" s="24">
        <f>G69*(1-1)</f>
        <v>0</v>
      </c>
      <c r="AQ69" s="26" t="s">
        <v>85</v>
      </c>
      <c r="AV69" s="24">
        <f>ROUND(AW69+AX69,2)</f>
        <v>0</v>
      </c>
      <c r="AW69" s="24">
        <f>ROUND(F69*AO69,2)</f>
        <v>0</v>
      </c>
      <c r="AX69" s="24">
        <f>ROUND(F69*AP69,2)</f>
        <v>0</v>
      </c>
      <c r="AY69" s="26" t="s">
        <v>209</v>
      </c>
      <c r="AZ69" s="26" t="s">
        <v>210</v>
      </c>
      <c r="BA69" s="10" t="s">
        <v>61</v>
      </c>
      <c r="BC69" s="24">
        <f>AW69+AX69</f>
        <v>0</v>
      </c>
      <c r="BD69" s="24">
        <f>G69/(100-BE69)*100</f>
        <v>0</v>
      </c>
      <c r="BE69" s="24">
        <v>0</v>
      </c>
      <c r="BF69" s="24">
        <f>69</f>
        <v>69</v>
      </c>
      <c r="BH69" s="24">
        <f>F69*AO69</f>
        <v>0</v>
      </c>
      <c r="BI69" s="24">
        <f>F69*AP69</f>
        <v>0</v>
      </c>
      <c r="BJ69" s="24">
        <f>F69*G69</f>
        <v>0</v>
      </c>
      <c r="BK69" s="24"/>
      <c r="BL69" s="24">
        <v>781</v>
      </c>
      <c r="BW69" s="24">
        <v>0</v>
      </c>
      <c r="BX69" s="4" t="s">
        <v>217</v>
      </c>
    </row>
    <row r="70" spans="1:76" x14ac:dyDescent="0.25">
      <c r="A70" s="29" t="s">
        <v>51</v>
      </c>
      <c r="B70" s="30" t="s">
        <v>218</v>
      </c>
      <c r="C70" s="153" t="s">
        <v>219</v>
      </c>
      <c r="D70" s="154"/>
      <c r="E70" s="31" t="s">
        <v>4</v>
      </c>
      <c r="F70" s="31" t="s">
        <v>4</v>
      </c>
      <c r="G70" s="31" t="s">
        <v>4</v>
      </c>
      <c r="H70" s="1">
        <f>SUM(H71:H72)</f>
        <v>0</v>
      </c>
      <c r="I70" s="1">
        <f>SUM(I71:I72)</f>
        <v>0</v>
      </c>
      <c r="J70" s="1">
        <f>SUM(J71:J72)</f>
        <v>0</v>
      </c>
      <c r="K70" s="32" t="s">
        <v>51</v>
      </c>
      <c r="AI70" s="10" t="s">
        <v>51</v>
      </c>
      <c r="AS70" s="1">
        <f>SUM(AJ71:AJ72)</f>
        <v>0</v>
      </c>
      <c r="AT70" s="1">
        <f>SUM(AK71:AK72)</f>
        <v>0</v>
      </c>
      <c r="AU70" s="1">
        <f>SUM(AL71:AL72)</f>
        <v>0</v>
      </c>
    </row>
    <row r="71" spans="1:76" x14ac:dyDescent="0.25">
      <c r="A71" s="2" t="s">
        <v>52</v>
      </c>
      <c r="B71" s="3" t="s">
        <v>220</v>
      </c>
      <c r="C71" s="83" t="s">
        <v>221</v>
      </c>
      <c r="D71" s="84"/>
      <c r="E71" s="3" t="s">
        <v>57</v>
      </c>
      <c r="F71" s="24">
        <v>165.99379999999999</v>
      </c>
      <c r="G71" s="24">
        <v>0</v>
      </c>
      <c r="H71" s="24">
        <f>ROUND(F71*AO71,2)</f>
        <v>0</v>
      </c>
      <c r="I71" s="24">
        <f>ROUND(F71*AP71,2)</f>
        <v>0</v>
      </c>
      <c r="J71" s="24">
        <f>ROUND(F71*G71,2)</f>
        <v>0</v>
      </c>
      <c r="K71" s="25" t="s">
        <v>58</v>
      </c>
      <c r="Z71" s="24">
        <f>ROUND(IF(AQ71="5",BJ71,0),2)</f>
        <v>0</v>
      </c>
      <c r="AB71" s="24">
        <f>ROUND(IF(AQ71="1",BH71,0),2)</f>
        <v>0</v>
      </c>
      <c r="AC71" s="24">
        <f>ROUND(IF(AQ71="1",BI71,0),2)</f>
        <v>0</v>
      </c>
      <c r="AD71" s="24">
        <f>ROUND(IF(AQ71="7",BH71,0),2)</f>
        <v>0</v>
      </c>
      <c r="AE71" s="24">
        <f>ROUND(IF(AQ71="7",BI71,0),2)</f>
        <v>0</v>
      </c>
      <c r="AF71" s="24">
        <f>ROUND(IF(AQ71="2",BH71,0),2)</f>
        <v>0</v>
      </c>
      <c r="AG71" s="24">
        <f>ROUND(IF(AQ71="2",BI71,0),2)</f>
        <v>0</v>
      </c>
      <c r="AH71" s="24">
        <f>ROUND(IF(AQ71="0",BJ71,0),2)</f>
        <v>0</v>
      </c>
      <c r="AI71" s="10" t="s">
        <v>51</v>
      </c>
      <c r="AJ71" s="24">
        <f>IF(AN71=0,J71,0)</f>
        <v>0</v>
      </c>
      <c r="AK71" s="24">
        <f>IF(AN71=12,J71,0)</f>
        <v>0</v>
      </c>
      <c r="AL71" s="24">
        <f>IF(AN71=21,J71,0)</f>
        <v>0</v>
      </c>
      <c r="AN71" s="24">
        <v>0</v>
      </c>
      <c r="AO71" s="24">
        <f>G71*0.168508753</f>
        <v>0</v>
      </c>
      <c r="AP71" s="24">
        <f>G71*(1-0.168508753)</f>
        <v>0</v>
      </c>
      <c r="AQ71" s="26" t="s">
        <v>85</v>
      </c>
      <c r="AV71" s="24">
        <f>ROUND(AW71+AX71,2)</f>
        <v>0</v>
      </c>
      <c r="AW71" s="24">
        <f>ROUND(F71*AO71,2)</f>
        <v>0</v>
      </c>
      <c r="AX71" s="24">
        <f>ROUND(F71*AP71,2)</f>
        <v>0</v>
      </c>
      <c r="AY71" s="26" t="s">
        <v>222</v>
      </c>
      <c r="AZ71" s="26" t="s">
        <v>210</v>
      </c>
      <c r="BA71" s="10" t="s">
        <v>61</v>
      </c>
      <c r="BC71" s="24">
        <f>AW71+AX71</f>
        <v>0</v>
      </c>
      <c r="BD71" s="24">
        <f>G71/(100-BE71)*100</f>
        <v>0</v>
      </c>
      <c r="BE71" s="24">
        <v>0</v>
      </c>
      <c r="BF71" s="24">
        <f>71</f>
        <v>71</v>
      </c>
      <c r="BH71" s="24">
        <f>F71*AO71</f>
        <v>0</v>
      </c>
      <c r="BI71" s="24">
        <f>F71*AP71</f>
        <v>0</v>
      </c>
      <c r="BJ71" s="24">
        <f>F71*G71</f>
        <v>0</v>
      </c>
      <c r="BK71" s="24"/>
      <c r="BL71" s="24">
        <v>784</v>
      </c>
      <c r="BW71" s="24">
        <v>0</v>
      </c>
      <c r="BX71" s="4" t="s">
        <v>221</v>
      </c>
    </row>
    <row r="72" spans="1:76" x14ac:dyDescent="0.25">
      <c r="A72" s="2" t="s">
        <v>223</v>
      </c>
      <c r="B72" s="3" t="s">
        <v>224</v>
      </c>
      <c r="C72" s="83" t="s">
        <v>225</v>
      </c>
      <c r="D72" s="84"/>
      <c r="E72" s="3" t="s">
        <v>57</v>
      </c>
      <c r="F72" s="24">
        <v>165.99</v>
      </c>
      <c r="G72" s="24">
        <v>0</v>
      </c>
      <c r="H72" s="24">
        <f>ROUND(F72*AO72,2)</f>
        <v>0</v>
      </c>
      <c r="I72" s="24">
        <f>ROUND(F72*AP72,2)</f>
        <v>0</v>
      </c>
      <c r="J72" s="24">
        <f>ROUND(F72*G72,2)</f>
        <v>0</v>
      </c>
      <c r="K72" s="25" t="s">
        <v>58</v>
      </c>
      <c r="Z72" s="24">
        <f>ROUND(IF(AQ72="5",BJ72,0),2)</f>
        <v>0</v>
      </c>
      <c r="AB72" s="24">
        <f>ROUND(IF(AQ72="1",BH72,0),2)</f>
        <v>0</v>
      </c>
      <c r="AC72" s="24">
        <f>ROUND(IF(AQ72="1",BI72,0),2)</f>
        <v>0</v>
      </c>
      <c r="AD72" s="24">
        <f>ROUND(IF(AQ72="7",BH72,0),2)</f>
        <v>0</v>
      </c>
      <c r="AE72" s="24">
        <f>ROUND(IF(AQ72="7",BI72,0),2)</f>
        <v>0</v>
      </c>
      <c r="AF72" s="24">
        <f>ROUND(IF(AQ72="2",BH72,0),2)</f>
        <v>0</v>
      </c>
      <c r="AG72" s="24">
        <f>ROUND(IF(AQ72="2",BI72,0),2)</f>
        <v>0</v>
      </c>
      <c r="AH72" s="24">
        <f>ROUND(IF(AQ72="0",BJ72,0),2)</f>
        <v>0</v>
      </c>
      <c r="AI72" s="10" t="s">
        <v>51</v>
      </c>
      <c r="AJ72" s="24">
        <f>IF(AN72=0,J72,0)</f>
        <v>0</v>
      </c>
      <c r="AK72" s="24">
        <f>IF(AN72=12,J72,0)</f>
        <v>0</v>
      </c>
      <c r="AL72" s="24">
        <f>IF(AN72=21,J72,0)</f>
        <v>0</v>
      </c>
      <c r="AN72" s="24">
        <v>0</v>
      </c>
      <c r="AO72" s="24">
        <f>G72*0.002090587</f>
        <v>0</v>
      </c>
      <c r="AP72" s="24">
        <f>G72*(1-0.002090587)</f>
        <v>0</v>
      </c>
      <c r="AQ72" s="26" t="s">
        <v>85</v>
      </c>
      <c r="AV72" s="24">
        <f>ROUND(AW72+AX72,2)</f>
        <v>0</v>
      </c>
      <c r="AW72" s="24">
        <f>ROUND(F72*AO72,2)</f>
        <v>0</v>
      </c>
      <c r="AX72" s="24">
        <f>ROUND(F72*AP72,2)</f>
        <v>0</v>
      </c>
      <c r="AY72" s="26" t="s">
        <v>222</v>
      </c>
      <c r="AZ72" s="26" t="s">
        <v>210</v>
      </c>
      <c r="BA72" s="10" t="s">
        <v>61</v>
      </c>
      <c r="BC72" s="24">
        <f>AW72+AX72</f>
        <v>0</v>
      </c>
      <c r="BD72" s="24">
        <f>G72/(100-BE72)*100</f>
        <v>0</v>
      </c>
      <c r="BE72" s="24">
        <v>0</v>
      </c>
      <c r="BF72" s="24">
        <f>72</f>
        <v>72</v>
      </c>
      <c r="BH72" s="24">
        <f>F72*AO72</f>
        <v>0</v>
      </c>
      <c r="BI72" s="24">
        <f>F72*AP72</f>
        <v>0</v>
      </c>
      <c r="BJ72" s="24">
        <f>F72*G72</f>
        <v>0</v>
      </c>
      <c r="BK72" s="24"/>
      <c r="BL72" s="24">
        <v>784</v>
      </c>
      <c r="BW72" s="24">
        <v>0</v>
      </c>
      <c r="BX72" s="4" t="s">
        <v>225</v>
      </c>
    </row>
    <row r="73" spans="1:76" ht="13.5" customHeight="1" x14ac:dyDescent="0.25">
      <c r="A73" s="27"/>
      <c r="B73" s="28" t="s">
        <v>65</v>
      </c>
      <c r="C73" s="149" t="s">
        <v>226</v>
      </c>
      <c r="D73" s="150"/>
      <c r="E73" s="150"/>
      <c r="F73" s="150"/>
      <c r="G73" s="150"/>
      <c r="H73" s="150"/>
      <c r="I73" s="150"/>
      <c r="J73" s="150"/>
      <c r="K73" s="151"/>
    </row>
    <row r="74" spans="1:76" x14ac:dyDescent="0.25">
      <c r="A74" s="29" t="s">
        <v>51</v>
      </c>
      <c r="B74" s="30" t="s">
        <v>227</v>
      </c>
      <c r="C74" s="153" t="s">
        <v>228</v>
      </c>
      <c r="D74" s="154"/>
      <c r="E74" s="31" t="s">
        <v>4</v>
      </c>
      <c r="F74" s="31" t="s">
        <v>4</v>
      </c>
      <c r="G74" s="31" t="s">
        <v>4</v>
      </c>
      <c r="H74" s="1">
        <f>SUM(H75:H75)</f>
        <v>0</v>
      </c>
      <c r="I74" s="1">
        <f>SUM(I75:I75)</f>
        <v>0</v>
      </c>
      <c r="J74" s="1">
        <f>SUM(J75:J75)</f>
        <v>0</v>
      </c>
      <c r="K74" s="32" t="s">
        <v>51</v>
      </c>
      <c r="AI74" s="10" t="s">
        <v>51</v>
      </c>
      <c r="AS74" s="1">
        <f>SUM(AJ75:AJ75)</f>
        <v>0</v>
      </c>
      <c r="AT74" s="1">
        <f>SUM(AK75:AK75)</f>
        <v>0</v>
      </c>
      <c r="AU74" s="1">
        <f>SUM(AL75:AL75)</f>
        <v>0</v>
      </c>
    </row>
    <row r="75" spans="1:76" x14ac:dyDescent="0.25">
      <c r="A75" s="2" t="s">
        <v>229</v>
      </c>
      <c r="B75" s="3" t="s">
        <v>230</v>
      </c>
      <c r="C75" s="83" t="s">
        <v>231</v>
      </c>
      <c r="D75" s="84"/>
      <c r="E75" s="3" t="s">
        <v>57</v>
      </c>
      <c r="F75" s="24">
        <v>51.7</v>
      </c>
      <c r="G75" s="24">
        <v>0</v>
      </c>
      <c r="H75" s="24">
        <f>ROUND(F75*AO75,2)</f>
        <v>0</v>
      </c>
      <c r="I75" s="24">
        <f>ROUND(F75*AP75,2)</f>
        <v>0</v>
      </c>
      <c r="J75" s="24">
        <f>ROUND(F75*G75,2)</f>
        <v>0</v>
      </c>
      <c r="K75" s="25" t="s">
        <v>58</v>
      </c>
      <c r="Z75" s="24">
        <f>ROUND(IF(AQ75="5",BJ75,0),2)</f>
        <v>0</v>
      </c>
      <c r="AB75" s="24">
        <f>ROUND(IF(AQ75="1",BH75,0),2)</f>
        <v>0</v>
      </c>
      <c r="AC75" s="24">
        <f>ROUND(IF(AQ75="1",BI75,0),2)</f>
        <v>0</v>
      </c>
      <c r="AD75" s="24">
        <f>ROUND(IF(AQ75="7",BH75,0),2)</f>
        <v>0</v>
      </c>
      <c r="AE75" s="24">
        <f>ROUND(IF(AQ75="7",BI75,0),2)</f>
        <v>0</v>
      </c>
      <c r="AF75" s="24">
        <f>ROUND(IF(AQ75="2",BH75,0),2)</f>
        <v>0</v>
      </c>
      <c r="AG75" s="24">
        <f>ROUND(IF(AQ75="2",BI75,0),2)</f>
        <v>0</v>
      </c>
      <c r="AH75" s="24">
        <f>ROUND(IF(AQ75="0",BJ75,0),2)</f>
        <v>0</v>
      </c>
      <c r="AI75" s="10" t="s">
        <v>51</v>
      </c>
      <c r="AJ75" s="24">
        <f>IF(AN75=0,J75,0)</f>
        <v>0</v>
      </c>
      <c r="AK75" s="24">
        <f>IF(AN75=12,J75,0)</f>
        <v>0</v>
      </c>
      <c r="AL75" s="24">
        <f>IF(AN75=21,J75,0)</f>
        <v>0</v>
      </c>
      <c r="AN75" s="24">
        <v>0</v>
      </c>
      <c r="AO75" s="24">
        <f>G75*0.019729207</f>
        <v>0</v>
      </c>
      <c r="AP75" s="24">
        <f>G75*(1-0.019729207)</f>
        <v>0</v>
      </c>
      <c r="AQ75" s="26" t="s">
        <v>54</v>
      </c>
      <c r="AV75" s="24">
        <f>ROUND(AW75+AX75,2)</f>
        <v>0</v>
      </c>
      <c r="AW75" s="24">
        <f>ROUND(F75*AO75,2)</f>
        <v>0</v>
      </c>
      <c r="AX75" s="24">
        <f>ROUND(F75*AP75,2)</f>
        <v>0</v>
      </c>
      <c r="AY75" s="26" t="s">
        <v>232</v>
      </c>
      <c r="AZ75" s="26" t="s">
        <v>233</v>
      </c>
      <c r="BA75" s="10" t="s">
        <v>61</v>
      </c>
      <c r="BC75" s="24">
        <f>AW75+AX75</f>
        <v>0</v>
      </c>
      <c r="BD75" s="24">
        <f>G75/(100-BE75)*100</f>
        <v>0</v>
      </c>
      <c r="BE75" s="24">
        <v>0</v>
      </c>
      <c r="BF75" s="24">
        <f>75</f>
        <v>75</v>
      </c>
      <c r="BH75" s="24">
        <f>F75*AO75</f>
        <v>0</v>
      </c>
      <c r="BI75" s="24">
        <f>F75*AP75</f>
        <v>0</v>
      </c>
      <c r="BJ75" s="24">
        <f>F75*G75</f>
        <v>0</v>
      </c>
      <c r="BK75" s="24"/>
      <c r="BL75" s="24">
        <v>95</v>
      </c>
      <c r="BW75" s="24">
        <v>0</v>
      </c>
      <c r="BX75" s="4" t="s">
        <v>231</v>
      </c>
    </row>
    <row r="76" spans="1:76" x14ac:dyDescent="0.25">
      <c r="A76" s="29" t="s">
        <v>51</v>
      </c>
      <c r="B76" s="30" t="s">
        <v>234</v>
      </c>
      <c r="C76" s="153" t="s">
        <v>235</v>
      </c>
      <c r="D76" s="154"/>
      <c r="E76" s="31" t="s">
        <v>4</v>
      </c>
      <c r="F76" s="31" t="s">
        <v>4</v>
      </c>
      <c r="G76" s="31" t="s">
        <v>4</v>
      </c>
      <c r="H76" s="1">
        <f>SUM(H77:H78)</f>
        <v>0</v>
      </c>
      <c r="I76" s="1">
        <f>SUM(I77:I78)</f>
        <v>0</v>
      </c>
      <c r="J76" s="1">
        <f>SUM(J77:J78)</f>
        <v>0</v>
      </c>
      <c r="K76" s="32" t="s">
        <v>51</v>
      </c>
      <c r="AI76" s="10" t="s">
        <v>51</v>
      </c>
      <c r="AS76" s="1">
        <f>SUM(AJ77:AJ78)</f>
        <v>0</v>
      </c>
      <c r="AT76" s="1">
        <f>SUM(AK77:AK78)</f>
        <v>0</v>
      </c>
      <c r="AU76" s="1">
        <f>SUM(AL77:AL78)</f>
        <v>0</v>
      </c>
    </row>
    <row r="77" spans="1:76" x14ac:dyDescent="0.25">
      <c r="A77" s="2" t="s">
        <v>236</v>
      </c>
      <c r="B77" s="3" t="s">
        <v>237</v>
      </c>
      <c r="C77" s="83" t="s">
        <v>238</v>
      </c>
      <c r="D77" s="84"/>
      <c r="E77" s="3" t="s">
        <v>57</v>
      </c>
      <c r="F77" s="24">
        <v>143</v>
      </c>
      <c r="G77" s="24">
        <v>0</v>
      </c>
      <c r="H77" s="24">
        <f>ROUND(F77*AO77,2)</f>
        <v>0</v>
      </c>
      <c r="I77" s="24">
        <f>ROUND(F77*AP77,2)</f>
        <v>0</v>
      </c>
      <c r="J77" s="24">
        <f>ROUND(F77*G77,2)</f>
        <v>0</v>
      </c>
      <c r="K77" s="25" t="s">
        <v>58</v>
      </c>
      <c r="Z77" s="24">
        <f>ROUND(IF(AQ77="5",BJ77,0),2)</f>
        <v>0</v>
      </c>
      <c r="AB77" s="24">
        <f>ROUND(IF(AQ77="1",BH77,0),2)</f>
        <v>0</v>
      </c>
      <c r="AC77" s="24">
        <f>ROUND(IF(AQ77="1",BI77,0),2)</f>
        <v>0</v>
      </c>
      <c r="AD77" s="24">
        <f>ROUND(IF(AQ77="7",BH77,0),2)</f>
        <v>0</v>
      </c>
      <c r="AE77" s="24">
        <f>ROUND(IF(AQ77="7",BI77,0),2)</f>
        <v>0</v>
      </c>
      <c r="AF77" s="24">
        <f>ROUND(IF(AQ77="2",BH77,0),2)</f>
        <v>0</v>
      </c>
      <c r="AG77" s="24">
        <f>ROUND(IF(AQ77="2",BI77,0),2)</f>
        <v>0</v>
      </c>
      <c r="AH77" s="24">
        <f>ROUND(IF(AQ77="0",BJ77,0),2)</f>
        <v>0</v>
      </c>
      <c r="AI77" s="10" t="s">
        <v>51</v>
      </c>
      <c r="AJ77" s="24">
        <f>IF(AN77=0,J77,0)</f>
        <v>0</v>
      </c>
      <c r="AK77" s="24">
        <f>IF(AN77=12,J77,0)</f>
        <v>0</v>
      </c>
      <c r="AL77" s="24">
        <f>IF(AN77=21,J77,0)</f>
        <v>0</v>
      </c>
      <c r="AN77" s="24">
        <v>0</v>
      </c>
      <c r="AO77" s="24">
        <f>G77*0</f>
        <v>0</v>
      </c>
      <c r="AP77" s="24">
        <f>G77*(1-0)</f>
        <v>0</v>
      </c>
      <c r="AQ77" s="26" t="s">
        <v>54</v>
      </c>
      <c r="AV77" s="24">
        <f>ROUND(AW77+AX77,2)</f>
        <v>0</v>
      </c>
      <c r="AW77" s="24">
        <f>ROUND(F77*AO77,2)</f>
        <v>0</v>
      </c>
      <c r="AX77" s="24">
        <f>ROUND(F77*AP77,2)</f>
        <v>0</v>
      </c>
      <c r="AY77" s="26" t="s">
        <v>239</v>
      </c>
      <c r="AZ77" s="26" t="s">
        <v>233</v>
      </c>
      <c r="BA77" s="10" t="s">
        <v>61</v>
      </c>
      <c r="BC77" s="24">
        <f>AW77+AX77</f>
        <v>0</v>
      </c>
      <c r="BD77" s="24">
        <f>G77/(100-BE77)*100</f>
        <v>0</v>
      </c>
      <c r="BE77" s="24">
        <v>0</v>
      </c>
      <c r="BF77" s="24">
        <f>77</f>
        <v>77</v>
      </c>
      <c r="BH77" s="24">
        <f>F77*AO77</f>
        <v>0</v>
      </c>
      <c r="BI77" s="24">
        <f>F77*AP77</f>
        <v>0</v>
      </c>
      <c r="BJ77" s="24">
        <f>F77*G77</f>
        <v>0</v>
      </c>
      <c r="BK77" s="24"/>
      <c r="BL77" s="24">
        <v>97</v>
      </c>
      <c r="BW77" s="24">
        <v>0</v>
      </c>
      <c r="BX77" s="4" t="s">
        <v>238</v>
      </c>
    </row>
    <row r="78" spans="1:76" x14ac:dyDescent="0.25">
      <c r="A78" s="2" t="s">
        <v>240</v>
      </c>
      <c r="B78" s="3" t="s">
        <v>241</v>
      </c>
      <c r="C78" s="83" t="s">
        <v>242</v>
      </c>
      <c r="D78" s="84"/>
      <c r="E78" s="3" t="s">
        <v>57</v>
      </c>
      <c r="F78" s="24">
        <v>51.7</v>
      </c>
      <c r="G78" s="24">
        <v>0</v>
      </c>
      <c r="H78" s="24">
        <f>ROUND(F78*AO78,2)</f>
        <v>0</v>
      </c>
      <c r="I78" s="24">
        <f>ROUND(F78*AP78,2)</f>
        <v>0</v>
      </c>
      <c r="J78" s="24">
        <f>ROUND(F78*G78,2)</f>
        <v>0</v>
      </c>
      <c r="K78" s="25" t="s">
        <v>58</v>
      </c>
      <c r="Z78" s="24">
        <f>ROUND(IF(AQ78="5",BJ78,0),2)</f>
        <v>0</v>
      </c>
      <c r="AB78" s="24">
        <f>ROUND(IF(AQ78="1",BH78,0),2)</f>
        <v>0</v>
      </c>
      <c r="AC78" s="24">
        <f>ROUND(IF(AQ78="1",BI78,0),2)</f>
        <v>0</v>
      </c>
      <c r="AD78" s="24">
        <f>ROUND(IF(AQ78="7",BH78,0),2)</f>
        <v>0</v>
      </c>
      <c r="AE78" s="24">
        <f>ROUND(IF(AQ78="7",BI78,0),2)</f>
        <v>0</v>
      </c>
      <c r="AF78" s="24">
        <f>ROUND(IF(AQ78="2",BH78,0),2)</f>
        <v>0</v>
      </c>
      <c r="AG78" s="24">
        <f>ROUND(IF(AQ78="2",BI78,0),2)</f>
        <v>0</v>
      </c>
      <c r="AH78" s="24">
        <f>ROUND(IF(AQ78="0",BJ78,0),2)</f>
        <v>0</v>
      </c>
      <c r="AI78" s="10" t="s">
        <v>51</v>
      </c>
      <c r="AJ78" s="24">
        <f>IF(AN78=0,J78,0)</f>
        <v>0</v>
      </c>
      <c r="AK78" s="24">
        <f>IF(AN78=12,J78,0)</f>
        <v>0</v>
      </c>
      <c r="AL78" s="24">
        <f>IF(AN78=21,J78,0)</f>
        <v>0</v>
      </c>
      <c r="AN78" s="24">
        <v>0</v>
      </c>
      <c r="AO78" s="24">
        <f>G78*0</f>
        <v>0</v>
      </c>
      <c r="AP78" s="24">
        <f>G78*(1-0)</f>
        <v>0</v>
      </c>
      <c r="AQ78" s="26" t="s">
        <v>54</v>
      </c>
      <c r="AV78" s="24">
        <f>ROUND(AW78+AX78,2)</f>
        <v>0</v>
      </c>
      <c r="AW78" s="24">
        <f>ROUND(F78*AO78,2)</f>
        <v>0</v>
      </c>
      <c r="AX78" s="24">
        <f>ROUND(F78*AP78,2)</f>
        <v>0</v>
      </c>
      <c r="AY78" s="26" t="s">
        <v>239</v>
      </c>
      <c r="AZ78" s="26" t="s">
        <v>233</v>
      </c>
      <c r="BA78" s="10" t="s">
        <v>61</v>
      </c>
      <c r="BC78" s="24">
        <f>AW78+AX78</f>
        <v>0</v>
      </c>
      <c r="BD78" s="24">
        <f>G78/(100-BE78)*100</f>
        <v>0</v>
      </c>
      <c r="BE78" s="24">
        <v>0</v>
      </c>
      <c r="BF78" s="24">
        <f>78</f>
        <v>78</v>
      </c>
      <c r="BH78" s="24">
        <f>F78*AO78</f>
        <v>0</v>
      </c>
      <c r="BI78" s="24">
        <f>F78*AP78</f>
        <v>0</v>
      </c>
      <c r="BJ78" s="24">
        <f>F78*G78</f>
        <v>0</v>
      </c>
      <c r="BK78" s="24"/>
      <c r="BL78" s="24">
        <v>97</v>
      </c>
      <c r="BW78" s="24">
        <v>0</v>
      </c>
      <c r="BX78" s="4" t="s">
        <v>242</v>
      </c>
    </row>
    <row r="79" spans="1:76" x14ac:dyDescent="0.25">
      <c r="A79" s="29" t="s">
        <v>51</v>
      </c>
      <c r="B79" s="30" t="s">
        <v>243</v>
      </c>
      <c r="C79" s="153" t="s">
        <v>244</v>
      </c>
      <c r="D79" s="154"/>
      <c r="E79" s="31" t="s">
        <v>4</v>
      </c>
      <c r="F79" s="31" t="s">
        <v>4</v>
      </c>
      <c r="G79" s="31" t="s">
        <v>4</v>
      </c>
      <c r="H79" s="1">
        <f>SUM(H80:H80)</f>
        <v>0</v>
      </c>
      <c r="I79" s="1">
        <f>SUM(I80:I80)</f>
        <v>0</v>
      </c>
      <c r="J79" s="1">
        <f>SUM(J80:J80)</f>
        <v>0</v>
      </c>
      <c r="K79" s="32" t="s">
        <v>51</v>
      </c>
      <c r="AI79" s="10" t="s">
        <v>51</v>
      </c>
      <c r="AS79" s="1">
        <f>SUM(AJ80:AJ80)</f>
        <v>0</v>
      </c>
      <c r="AT79" s="1">
        <f>SUM(AK80:AK80)</f>
        <v>0</v>
      </c>
      <c r="AU79" s="1">
        <f>SUM(AL80:AL80)</f>
        <v>0</v>
      </c>
    </row>
    <row r="80" spans="1:76" x14ac:dyDescent="0.25">
      <c r="A80" s="2" t="s">
        <v>245</v>
      </c>
      <c r="B80" s="3" t="s">
        <v>246</v>
      </c>
      <c r="C80" s="83" t="s">
        <v>247</v>
      </c>
      <c r="D80" s="84"/>
      <c r="E80" s="3" t="s">
        <v>248</v>
      </c>
      <c r="F80" s="24">
        <v>8.0020000000000007</v>
      </c>
      <c r="G80" s="24">
        <v>0</v>
      </c>
      <c r="H80" s="24">
        <f>ROUND(F80*AO80,2)</f>
        <v>0</v>
      </c>
      <c r="I80" s="24">
        <f>ROUND(F80*AP80,2)</f>
        <v>0</v>
      </c>
      <c r="J80" s="24">
        <f>ROUND(F80*G80,2)</f>
        <v>0</v>
      </c>
      <c r="K80" s="25" t="s">
        <v>58</v>
      </c>
      <c r="Z80" s="24">
        <f>ROUND(IF(AQ80="5",BJ80,0),2)</f>
        <v>0</v>
      </c>
      <c r="AB80" s="24">
        <f>ROUND(IF(AQ80="1",BH80,0),2)</f>
        <v>0</v>
      </c>
      <c r="AC80" s="24">
        <f>ROUND(IF(AQ80="1",BI80,0),2)</f>
        <v>0</v>
      </c>
      <c r="AD80" s="24">
        <f>ROUND(IF(AQ80="7",BH80,0),2)</f>
        <v>0</v>
      </c>
      <c r="AE80" s="24">
        <f>ROUND(IF(AQ80="7",BI80,0),2)</f>
        <v>0</v>
      </c>
      <c r="AF80" s="24">
        <f>ROUND(IF(AQ80="2",BH80,0),2)</f>
        <v>0</v>
      </c>
      <c r="AG80" s="24">
        <f>ROUND(IF(AQ80="2",BI80,0),2)</f>
        <v>0</v>
      </c>
      <c r="AH80" s="24">
        <f>ROUND(IF(AQ80="0",BJ80,0),2)</f>
        <v>0</v>
      </c>
      <c r="AI80" s="10" t="s">
        <v>51</v>
      </c>
      <c r="AJ80" s="24">
        <f>IF(AN80=0,J80,0)</f>
        <v>0</v>
      </c>
      <c r="AK80" s="24">
        <f>IF(AN80=12,J80,0)</f>
        <v>0</v>
      </c>
      <c r="AL80" s="24">
        <f>IF(AN80=21,J80,0)</f>
        <v>0</v>
      </c>
      <c r="AN80" s="24">
        <v>0</v>
      </c>
      <c r="AO80" s="24">
        <f>G80*0</f>
        <v>0</v>
      </c>
      <c r="AP80" s="24">
        <f>G80*(1-0)</f>
        <v>0</v>
      </c>
      <c r="AQ80" s="26" t="s">
        <v>77</v>
      </c>
      <c r="AV80" s="24">
        <f>ROUND(AW80+AX80,2)</f>
        <v>0</v>
      </c>
      <c r="AW80" s="24">
        <f>ROUND(F80*AO80,2)</f>
        <v>0</v>
      </c>
      <c r="AX80" s="24">
        <f>ROUND(F80*AP80,2)</f>
        <v>0</v>
      </c>
      <c r="AY80" s="26" t="s">
        <v>249</v>
      </c>
      <c r="AZ80" s="26" t="s">
        <v>233</v>
      </c>
      <c r="BA80" s="10" t="s">
        <v>61</v>
      </c>
      <c r="BC80" s="24">
        <f>AW80+AX80</f>
        <v>0</v>
      </c>
      <c r="BD80" s="24">
        <f>G80/(100-BE80)*100</f>
        <v>0</v>
      </c>
      <c r="BE80" s="24">
        <v>0</v>
      </c>
      <c r="BF80" s="24">
        <f>80</f>
        <v>80</v>
      </c>
      <c r="BH80" s="24">
        <f>F80*AO80</f>
        <v>0</v>
      </c>
      <c r="BI80" s="24">
        <f>F80*AP80</f>
        <v>0</v>
      </c>
      <c r="BJ80" s="24">
        <f>F80*G80</f>
        <v>0</v>
      </c>
      <c r="BK80" s="24"/>
      <c r="BL80" s="24"/>
      <c r="BW80" s="24">
        <v>0</v>
      </c>
      <c r="BX80" s="4" t="s">
        <v>247</v>
      </c>
    </row>
    <row r="81" spans="1:76" x14ac:dyDescent="0.25">
      <c r="A81" s="29" t="s">
        <v>51</v>
      </c>
      <c r="B81" s="30" t="s">
        <v>250</v>
      </c>
      <c r="C81" s="153" t="s">
        <v>251</v>
      </c>
      <c r="D81" s="154"/>
      <c r="E81" s="31" t="s">
        <v>4</v>
      </c>
      <c r="F81" s="31" t="s">
        <v>4</v>
      </c>
      <c r="G81" s="31" t="s">
        <v>4</v>
      </c>
      <c r="H81" s="1">
        <f>SUM(H82:H82)</f>
        <v>0</v>
      </c>
      <c r="I81" s="1">
        <f>SUM(I82:I82)</f>
        <v>0</v>
      </c>
      <c r="J81" s="1">
        <f>SUM(J82:J82)</f>
        <v>0</v>
      </c>
      <c r="K81" s="32" t="s">
        <v>51</v>
      </c>
      <c r="AI81" s="10" t="s">
        <v>51</v>
      </c>
      <c r="AS81" s="1">
        <f>SUM(AJ82:AJ82)</f>
        <v>0</v>
      </c>
      <c r="AT81" s="1">
        <f>SUM(AK82:AK82)</f>
        <v>0</v>
      </c>
      <c r="AU81" s="1">
        <f>SUM(AL82:AL82)</f>
        <v>0</v>
      </c>
    </row>
    <row r="82" spans="1:76" x14ac:dyDescent="0.25">
      <c r="A82" s="2" t="s">
        <v>252</v>
      </c>
      <c r="B82" s="3" t="s">
        <v>253</v>
      </c>
      <c r="C82" s="83" t="s">
        <v>251</v>
      </c>
      <c r="D82" s="84"/>
      <c r="E82" s="3" t="s">
        <v>116</v>
      </c>
      <c r="F82" s="24">
        <v>1</v>
      </c>
      <c r="G82" s="24">
        <v>0</v>
      </c>
      <c r="H82" s="24">
        <f>ROUND(F82*AO82,2)</f>
        <v>0</v>
      </c>
      <c r="I82" s="24">
        <f>ROUND(F82*AP82,2)</f>
        <v>0</v>
      </c>
      <c r="J82" s="24">
        <f>ROUND(F82*G82,2)</f>
        <v>0</v>
      </c>
      <c r="K82" s="25" t="s">
        <v>51</v>
      </c>
      <c r="Z82" s="24">
        <f>ROUND(IF(AQ82="5",BJ82,0),2)</f>
        <v>0</v>
      </c>
      <c r="AB82" s="24">
        <f>ROUND(IF(AQ82="1",BH82,0),2)</f>
        <v>0</v>
      </c>
      <c r="AC82" s="24">
        <f>ROUND(IF(AQ82="1",BI82,0),2)</f>
        <v>0</v>
      </c>
      <c r="AD82" s="24">
        <f>ROUND(IF(AQ82="7",BH82,0),2)</f>
        <v>0</v>
      </c>
      <c r="AE82" s="24">
        <f>ROUND(IF(AQ82="7",BI82,0),2)</f>
        <v>0</v>
      </c>
      <c r="AF82" s="24">
        <f>ROUND(IF(AQ82="2",BH82,0),2)</f>
        <v>0</v>
      </c>
      <c r="AG82" s="24">
        <f>ROUND(IF(AQ82="2",BI82,0),2)</f>
        <v>0</v>
      </c>
      <c r="AH82" s="24">
        <f>ROUND(IF(AQ82="0",BJ82,0),2)</f>
        <v>0</v>
      </c>
      <c r="AI82" s="10" t="s">
        <v>51</v>
      </c>
      <c r="AJ82" s="24">
        <f>IF(AN82=0,J82,0)</f>
        <v>0</v>
      </c>
      <c r="AK82" s="24">
        <f>IF(AN82=12,J82,0)</f>
        <v>0</v>
      </c>
      <c r="AL82" s="24">
        <f>IF(AN82=21,J82,0)</f>
        <v>0</v>
      </c>
      <c r="AN82" s="24">
        <v>0</v>
      </c>
      <c r="AO82" s="24">
        <f>G82*0</f>
        <v>0</v>
      </c>
      <c r="AP82" s="24">
        <f>G82*(1-0)</f>
        <v>0</v>
      </c>
      <c r="AQ82" s="26" t="s">
        <v>62</v>
      </c>
      <c r="AV82" s="24">
        <f>ROUND(AW82+AX82,2)</f>
        <v>0</v>
      </c>
      <c r="AW82" s="24">
        <f>ROUND(F82*AO82,2)</f>
        <v>0</v>
      </c>
      <c r="AX82" s="24">
        <f>ROUND(F82*AP82,2)</f>
        <v>0</v>
      </c>
      <c r="AY82" s="26" t="s">
        <v>254</v>
      </c>
      <c r="AZ82" s="26" t="s">
        <v>233</v>
      </c>
      <c r="BA82" s="10" t="s">
        <v>61</v>
      </c>
      <c r="BC82" s="24">
        <f>AW82+AX82</f>
        <v>0</v>
      </c>
      <c r="BD82" s="24">
        <f>G82/(100-BE82)*100</f>
        <v>0</v>
      </c>
      <c r="BE82" s="24">
        <v>0</v>
      </c>
      <c r="BF82" s="24">
        <f>82</f>
        <v>82</v>
      </c>
      <c r="BH82" s="24">
        <f>F82*AO82</f>
        <v>0</v>
      </c>
      <c r="BI82" s="24">
        <f>F82*AP82</f>
        <v>0</v>
      </c>
      <c r="BJ82" s="24">
        <f>F82*G82</f>
        <v>0</v>
      </c>
      <c r="BK82" s="24"/>
      <c r="BL82" s="24"/>
      <c r="BW82" s="24">
        <v>0</v>
      </c>
      <c r="BX82" s="4" t="s">
        <v>251</v>
      </c>
    </row>
    <row r="83" spans="1:76" ht="13.5" customHeight="1" x14ac:dyDescent="0.25">
      <c r="A83" s="27"/>
      <c r="B83" s="28" t="s">
        <v>65</v>
      </c>
      <c r="C83" s="149" t="s">
        <v>255</v>
      </c>
      <c r="D83" s="150"/>
      <c r="E83" s="150"/>
      <c r="F83" s="150"/>
      <c r="G83" s="150"/>
      <c r="H83" s="150"/>
      <c r="I83" s="150"/>
      <c r="J83" s="150"/>
      <c r="K83" s="151"/>
    </row>
    <row r="84" spans="1:76" x14ac:dyDescent="0.25">
      <c r="A84" s="29" t="s">
        <v>51</v>
      </c>
      <c r="B84" s="30" t="s">
        <v>256</v>
      </c>
      <c r="C84" s="153" t="s">
        <v>257</v>
      </c>
      <c r="D84" s="154"/>
      <c r="E84" s="31" t="s">
        <v>4</v>
      </c>
      <c r="F84" s="31" t="s">
        <v>4</v>
      </c>
      <c r="G84" s="31" t="s">
        <v>4</v>
      </c>
      <c r="H84" s="1">
        <f>SUM(H85:H89)</f>
        <v>0</v>
      </c>
      <c r="I84" s="1">
        <f>SUM(I85:I89)</f>
        <v>0</v>
      </c>
      <c r="J84" s="1">
        <f>SUM(J85:J89)</f>
        <v>0</v>
      </c>
      <c r="K84" s="32" t="s">
        <v>51</v>
      </c>
      <c r="AI84" s="10" t="s">
        <v>51</v>
      </c>
      <c r="AS84" s="1">
        <f>SUM(AJ85:AJ89)</f>
        <v>0</v>
      </c>
      <c r="AT84" s="1">
        <f>SUM(AK85:AK89)</f>
        <v>0</v>
      </c>
      <c r="AU84" s="1">
        <f>SUM(AL85:AL89)</f>
        <v>0</v>
      </c>
    </row>
    <row r="85" spans="1:76" x14ac:dyDescent="0.25">
      <c r="A85" s="2" t="s">
        <v>258</v>
      </c>
      <c r="B85" s="3" t="s">
        <v>259</v>
      </c>
      <c r="C85" s="83" t="s">
        <v>260</v>
      </c>
      <c r="D85" s="84"/>
      <c r="E85" s="3" t="s">
        <v>248</v>
      </c>
      <c r="F85" s="24">
        <v>2.335</v>
      </c>
      <c r="G85" s="24">
        <v>0</v>
      </c>
      <c r="H85" s="24">
        <f>ROUND(F85*AO85,2)</f>
        <v>0</v>
      </c>
      <c r="I85" s="24">
        <f>ROUND(F85*AP85,2)</f>
        <v>0</v>
      </c>
      <c r="J85" s="24">
        <f>ROUND(F85*G85,2)</f>
        <v>0</v>
      </c>
      <c r="K85" s="25" t="s">
        <v>58</v>
      </c>
      <c r="Z85" s="24">
        <f>ROUND(IF(AQ85="5",BJ85,0),2)</f>
        <v>0</v>
      </c>
      <c r="AB85" s="24">
        <f>ROUND(IF(AQ85="1",BH85,0),2)</f>
        <v>0</v>
      </c>
      <c r="AC85" s="24">
        <f>ROUND(IF(AQ85="1",BI85,0),2)</f>
        <v>0</v>
      </c>
      <c r="AD85" s="24">
        <f>ROUND(IF(AQ85="7",BH85,0),2)</f>
        <v>0</v>
      </c>
      <c r="AE85" s="24">
        <f>ROUND(IF(AQ85="7",BI85,0),2)</f>
        <v>0</v>
      </c>
      <c r="AF85" s="24">
        <f>ROUND(IF(AQ85="2",BH85,0),2)</f>
        <v>0</v>
      </c>
      <c r="AG85" s="24">
        <f>ROUND(IF(AQ85="2",BI85,0),2)</f>
        <v>0</v>
      </c>
      <c r="AH85" s="24">
        <f>ROUND(IF(AQ85="0",BJ85,0),2)</f>
        <v>0</v>
      </c>
      <c r="AI85" s="10" t="s">
        <v>51</v>
      </c>
      <c r="AJ85" s="24">
        <f>IF(AN85=0,J85,0)</f>
        <v>0</v>
      </c>
      <c r="AK85" s="24">
        <f>IF(AN85=12,J85,0)</f>
        <v>0</v>
      </c>
      <c r="AL85" s="24">
        <f>IF(AN85=21,J85,0)</f>
        <v>0</v>
      </c>
      <c r="AN85" s="24">
        <v>0</v>
      </c>
      <c r="AO85" s="24">
        <f>G85*0</f>
        <v>0</v>
      </c>
      <c r="AP85" s="24">
        <f>G85*(1-0)</f>
        <v>0</v>
      </c>
      <c r="AQ85" s="26" t="s">
        <v>77</v>
      </c>
      <c r="AV85" s="24">
        <f>ROUND(AW85+AX85,2)</f>
        <v>0</v>
      </c>
      <c r="AW85" s="24">
        <f>ROUND(F85*AO85,2)</f>
        <v>0</v>
      </c>
      <c r="AX85" s="24">
        <f>ROUND(F85*AP85,2)</f>
        <v>0</v>
      </c>
      <c r="AY85" s="26" t="s">
        <v>261</v>
      </c>
      <c r="AZ85" s="26" t="s">
        <v>233</v>
      </c>
      <c r="BA85" s="10" t="s">
        <v>61</v>
      </c>
      <c r="BC85" s="24">
        <f>AW85+AX85</f>
        <v>0</v>
      </c>
      <c r="BD85" s="24">
        <f>G85/(100-BE85)*100</f>
        <v>0</v>
      </c>
      <c r="BE85" s="24">
        <v>0</v>
      </c>
      <c r="BF85" s="24">
        <f>85</f>
        <v>85</v>
      </c>
      <c r="BH85" s="24">
        <f>F85*AO85</f>
        <v>0</v>
      </c>
      <c r="BI85" s="24">
        <f>F85*AP85</f>
        <v>0</v>
      </c>
      <c r="BJ85" s="24">
        <f>F85*G85</f>
        <v>0</v>
      </c>
      <c r="BK85" s="24"/>
      <c r="BL85" s="24"/>
      <c r="BW85" s="24">
        <v>0</v>
      </c>
      <c r="BX85" s="4" t="s">
        <v>260</v>
      </c>
    </row>
    <row r="86" spans="1:76" x14ac:dyDescent="0.25">
      <c r="A86" s="2" t="s">
        <v>262</v>
      </c>
      <c r="B86" s="3" t="s">
        <v>263</v>
      </c>
      <c r="C86" s="83" t="s">
        <v>264</v>
      </c>
      <c r="D86" s="84"/>
      <c r="E86" s="3" t="s">
        <v>248</v>
      </c>
      <c r="F86" s="24">
        <v>2.335</v>
      </c>
      <c r="G86" s="24">
        <v>0</v>
      </c>
      <c r="H86" s="24">
        <f>ROUND(F86*AO86,2)</f>
        <v>0</v>
      </c>
      <c r="I86" s="24">
        <f>ROUND(F86*AP86,2)</f>
        <v>0</v>
      </c>
      <c r="J86" s="24">
        <f>ROUND(F86*G86,2)</f>
        <v>0</v>
      </c>
      <c r="K86" s="25" t="s">
        <v>58</v>
      </c>
      <c r="Z86" s="24">
        <f>ROUND(IF(AQ86="5",BJ86,0),2)</f>
        <v>0</v>
      </c>
      <c r="AB86" s="24">
        <f>ROUND(IF(AQ86="1",BH86,0),2)</f>
        <v>0</v>
      </c>
      <c r="AC86" s="24">
        <f>ROUND(IF(AQ86="1",BI86,0),2)</f>
        <v>0</v>
      </c>
      <c r="AD86" s="24">
        <f>ROUND(IF(AQ86="7",BH86,0),2)</f>
        <v>0</v>
      </c>
      <c r="AE86" s="24">
        <f>ROUND(IF(AQ86="7",BI86,0),2)</f>
        <v>0</v>
      </c>
      <c r="AF86" s="24">
        <f>ROUND(IF(AQ86="2",BH86,0),2)</f>
        <v>0</v>
      </c>
      <c r="AG86" s="24">
        <f>ROUND(IF(AQ86="2",BI86,0),2)</f>
        <v>0</v>
      </c>
      <c r="AH86" s="24">
        <f>ROUND(IF(AQ86="0",BJ86,0),2)</f>
        <v>0</v>
      </c>
      <c r="AI86" s="10" t="s">
        <v>51</v>
      </c>
      <c r="AJ86" s="24">
        <f>IF(AN86=0,J86,0)</f>
        <v>0</v>
      </c>
      <c r="AK86" s="24">
        <f>IF(AN86=12,J86,0)</f>
        <v>0</v>
      </c>
      <c r="AL86" s="24">
        <f>IF(AN86=21,J86,0)</f>
        <v>0</v>
      </c>
      <c r="AN86" s="24">
        <v>0</v>
      </c>
      <c r="AO86" s="24">
        <f>G86*0.010624673</f>
        <v>0</v>
      </c>
      <c r="AP86" s="24">
        <f>G86*(1-0.010624673)</f>
        <v>0</v>
      </c>
      <c r="AQ86" s="26" t="s">
        <v>77</v>
      </c>
      <c r="AV86" s="24">
        <f>ROUND(AW86+AX86,2)</f>
        <v>0</v>
      </c>
      <c r="AW86" s="24">
        <f>ROUND(F86*AO86,2)</f>
        <v>0</v>
      </c>
      <c r="AX86" s="24">
        <f>ROUND(F86*AP86,2)</f>
        <v>0</v>
      </c>
      <c r="AY86" s="26" t="s">
        <v>261</v>
      </c>
      <c r="AZ86" s="26" t="s">
        <v>233</v>
      </c>
      <c r="BA86" s="10" t="s">
        <v>61</v>
      </c>
      <c r="BC86" s="24">
        <f>AW86+AX86</f>
        <v>0</v>
      </c>
      <c r="BD86" s="24">
        <f>G86/(100-BE86)*100</f>
        <v>0</v>
      </c>
      <c r="BE86" s="24">
        <v>0</v>
      </c>
      <c r="BF86" s="24">
        <f>86</f>
        <v>86</v>
      </c>
      <c r="BH86" s="24">
        <f>F86*AO86</f>
        <v>0</v>
      </c>
      <c r="BI86" s="24">
        <f>F86*AP86</f>
        <v>0</v>
      </c>
      <c r="BJ86" s="24">
        <f>F86*G86</f>
        <v>0</v>
      </c>
      <c r="BK86" s="24"/>
      <c r="BL86" s="24"/>
      <c r="BW86" s="24">
        <v>0</v>
      </c>
      <c r="BX86" s="4" t="s">
        <v>264</v>
      </c>
    </row>
    <row r="87" spans="1:76" ht="13.5" customHeight="1" x14ac:dyDescent="0.25">
      <c r="A87" s="27"/>
      <c r="B87" s="28" t="s">
        <v>65</v>
      </c>
      <c r="C87" s="149" t="s">
        <v>265</v>
      </c>
      <c r="D87" s="150"/>
      <c r="E87" s="150"/>
      <c r="F87" s="150"/>
      <c r="G87" s="150"/>
      <c r="H87" s="150"/>
      <c r="I87" s="150"/>
      <c r="J87" s="150"/>
      <c r="K87" s="151"/>
    </row>
    <row r="88" spans="1:76" x14ac:dyDescent="0.25">
      <c r="A88" s="2" t="s">
        <v>266</v>
      </c>
      <c r="B88" s="3" t="s">
        <v>267</v>
      </c>
      <c r="C88" s="83" t="s">
        <v>268</v>
      </c>
      <c r="D88" s="84"/>
      <c r="E88" s="3" t="s">
        <v>248</v>
      </c>
      <c r="F88" s="24">
        <v>23.35</v>
      </c>
      <c r="G88" s="24">
        <v>0</v>
      </c>
      <c r="H88" s="24">
        <f>ROUND(F88*AO88,2)</f>
        <v>0</v>
      </c>
      <c r="I88" s="24">
        <f>ROUND(F88*AP88,2)</f>
        <v>0</v>
      </c>
      <c r="J88" s="24">
        <f>ROUND(F88*G88,2)</f>
        <v>0</v>
      </c>
      <c r="K88" s="25" t="s">
        <v>58</v>
      </c>
      <c r="Z88" s="24">
        <f>ROUND(IF(AQ88="5",BJ88,0),2)</f>
        <v>0</v>
      </c>
      <c r="AB88" s="24">
        <f>ROUND(IF(AQ88="1",BH88,0),2)</f>
        <v>0</v>
      </c>
      <c r="AC88" s="24">
        <f>ROUND(IF(AQ88="1",BI88,0),2)</f>
        <v>0</v>
      </c>
      <c r="AD88" s="24">
        <f>ROUND(IF(AQ88="7",BH88,0),2)</f>
        <v>0</v>
      </c>
      <c r="AE88" s="24">
        <f>ROUND(IF(AQ88="7",BI88,0),2)</f>
        <v>0</v>
      </c>
      <c r="AF88" s="24">
        <f>ROUND(IF(AQ88="2",BH88,0),2)</f>
        <v>0</v>
      </c>
      <c r="AG88" s="24">
        <f>ROUND(IF(AQ88="2",BI88,0),2)</f>
        <v>0</v>
      </c>
      <c r="AH88" s="24">
        <f>ROUND(IF(AQ88="0",BJ88,0),2)</f>
        <v>0</v>
      </c>
      <c r="AI88" s="10" t="s">
        <v>51</v>
      </c>
      <c r="AJ88" s="24">
        <f>IF(AN88=0,J88,0)</f>
        <v>0</v>
      </c>
      <c r="AK88" s="24">
        <f>IF(AN88=12,J88,0)</f>
        <v>0</v>
      </c>
      <c r="AL88" s="24">
        <f>IF(AN88=21,J88,0)</f>
        <v>0</v>
      </c>
      <c r="AN88" s="24">
        <v>0</v>
      </c>
      <c r="AO88" s="24">
        <f>G88*0</f>
        <v>0</v>
      </c>
      <c r="AP88" s="24">
        <f>G88*(1-0)</f>
        <v>0</v>
      </c>
      <c r="AQ88" s="26" t="s">
        <v>77</v>
      </c>
      <c r="AV88" s="24">
        <f>ROUND(AW88+AX88,2)</f>
        <v>0</v>
      </c>
      <c r="AW88" s="24">
        <f>ROUND(F88*AO88,2)</f>
        <v>0</v>
      </c>
      <c r="AX88" s="24">
        <f>ROUND(F88*AP88,2)</f>
        <v>0</v>
      </c>
      <c r="AY88" s="26" t="s">
        <v>261</v>
      </c>
      <c r="AZ88" s="26" t="s">
        <v>233</v>
      </c>
      <c r="BA88" s="10" t="s">
        <v>61</v>
      </c>
      <c r="BC88" s="24">
        <f>AW88+AX88</f>
        <v>0</v>
      </c>
      <c r="BD88" s="24">
        <f>G88/(100-BE88)*100</f>
        <v>0</v>
      </c>
      <c r="BE88" s="24">
        <v>0</v>
      </c>
      <c r="BF88" s="24">
        <f>88</f>
        <v>88</v>
      </c>
      <c r="BH88" s="24">
        <f>F88*AO88</f>
        <v>0</v>
      </c>
      <c r="BI88" s="24">
        <f>F88*AP88</f>
        <v>0</v>
      </c>
      <c r="BJ88" s="24">
        <f>F88*G88</f>
        <v>0</v>
      </c>
      <c r="BK88" s="24"/>
      <c r="BL88" s="24"/>
      <c r="BW88" s="24">
        <v>0</v>
      </c>
      <c r="BX88" s="4" t="s">
        <v>268</v>
      </c>
    </row>
    <row r="89" spans="1:76" x14ac:dyDescent="0.25">
      <c r="A89" s="33" t="s">
        <v>269</v>
      </c>
      <c r="B89" s="34" t="s">
        <v>270</v>
      </c>
      <c r="C89" s="152" t="s">
        <v>271</v>
      </c>
      <c r="D89" s="120"/>
      <c r="E89" s="34" t="s">
        <v>248</v>
      </c>
      <c r="F89" s="35">
        <v>2.335</v>
      </c>
      <c r="G89" s="35">
        <v>0</v>
      </c>
      <c r="H89" s="35">
        <f>ROUND(F89*AO89,2)</f>
        <v>0</v>
      </c>
      <c r="I89" s="35">
        <f>ROUND(F89*AP89,2)</f>
        <v>0</v>
      </c>
      <c r="J89" s="35">
        <f>ROUND(F89*G89,2)</f>
        <v>0</v>
      </c>
      <c r="K89" s="36" t="s">
        <v>58</v>
      </c>
      <c r="Z89" s="24">
        <f>ROUND(IF(AQ89="5",BJ89,0),2)</f>
        <v>0</v>
      </c>
      <c r="AB89" s="24">
        <f>ROUND(IF(AQ89="1",BH89,0),2)</f>
        <v>0</v>
      </c>
      <c r="AC89" s="24">
        <f>ROUND(IF(AQ89="1",BI89,0),2)</f>
        <v>0</v>
      </c>
      <c r="AD89" s="24">
        <f>ROUND(IF(AQ89="7",BH89,0),2)</f>
        <v>0</v>
      </c>
      <c r="AE89" s="24">
        <f>ROUND(IF(AQ89="7",BI89,0),2)</f>
        <v>0</v>
      </c>
      <c r="AF89" s="24">
        <f>ROUND(IF(AQ89="2",BH89,0),2)</f>
        <v>0</v>
      </c>
      <c r="AG89" s="24">
        <f>ROUND(IF(AQ89="2",BI89,0),2)</f>
        <v>0</v>
      </c>
      <c r="AH89" s="24">
        <f>ROUND(IF(AQ89="0",BJ89,0),2)</f>
        <v>0</v>
      </c>
      <c r="AI89" s="10" t="s">
        <v>51</v>
      </c>
      <c r="AJ89" s="24">
        <f>IF(AN89=0,J89,0)</f>
        <v>0</v>
      </c>
      <c r="AK89" s="24">
        <f>IF(AN89=12,J89,0)</f>
        <v>0</v>
      </c>
      <c r="AL89" s="24">
        <f>IF(AN89=21,J89,0)</f>
        <v>0</v>
      </c>
      <c r="AN89" s="24">
        <v>0</v>
      </c>
      <c r="AO89" s="24">
        <f>G89*0</f>
        <v>0</v>
      </c>
      <c r="AP89" s="24">
        <f>G89*(1-0)</f>
        <v>0</v>
      </c>
      <c r="AQ89" s="26" t="s">
        <v>77</v>
      </c>
      <c r="AV89" s="24">
        <f>ROUND(AW89+AX89,2)</f>
        <v>0</v>
      </c>
      <c r="AW89" s="24">
        <f>ROUND(F89*AO89,2)</f>
        <v>0</v>
      </c>
      <c r="AX89" s="24">
        <f>ROUND(F89*AP89,2)</f>
        <v>0</v>
      </c>
      <c r="AY89" s="26" t="s">
        <v>261</v>
      </c>
      <c r="AZ89" s="26" t="s">
        <v>233</v>
      </c>
      <c r="BA89" s="10" t="s">
        <v>61</v>
      </c>
      <c r="BC89" s="24">
        <f>AW89+AX89</f>
        <v>0</v>
      </c>
      <c r="BD89" s="24">
        <f>G89/(100-BE89)*100</f>
        <v>0</v>
      </c>
      <c r="BE89" s="24">
        <v>0</v>
      </c>
      <c r="BF89" s="24">
        <f>89</f>
        <v>89</v>
      </c>
      <c r="BH89" s="24">
        <f>F89*AO89</f>
        <v>0</v>
      </c>
      <c r="BI89" s="24">
        <f>F89*AP89</f>
        <v>0</v>
      </c>
      <c r="BJ89" s="24">
        <f>F89*G89</f>
        <v>0</v>
      </c>
      <c r="BK89" s="24"/>
      <c r="BL89" s="24"/>
      <c r="BW89" s="24">
        <v>0</v>
      </c>
      <c r="BX89" s="4" t="s">
        <v>271</v>
      </c>
    </row>
    <row r="90" spans="1:76" x14ac:dyDescent="0.25">
      <c r="H90" s="135" t="s">
        <v>272</v>
      </c>
      <c r="I90" s="135"/>
      <c r="J90" s="37">
        <f>ROUND(J12+J20+J26+J29+J34+J37+J41+J44+J46+J53+J58+J61+J65+J70+J74+J76+J79+J81+J84,2)</f>
        <v>0</v>
      </c>
    </row>
    <row r="91" spans="1:76" x14ac:dyDescent="0.25">
      <c r="A91" s="38" t="s">
        <v>273</v>
      </c>
    </row>
    <row r="92" spans="1:76" ht="12.75" customHeight="1" x14ac:dyDescent="0.25">
      <c r="A92" s="83" t="s">
        <v>51</v>
      </c>
      <c r="B92" s="84"/>
      <c r="C92" s="84"/>
      <c r="D92" s="84"/>
      <c r="E92" s="84"/>
      <c r="F92" s="84"/>
      <c r="G92" s="84"/>
      <c r="H92" s="84"/>
      <c r="I92" s="84"/>
      <c r="J92" s="84"/>
      <c r="K92" s="84"/>
    </row>
  </sheetData>
  <mergeCells count="108">
    <mergeCell ref="I2:K3"/>
    <mergeCell ref="I4:K5"/>
    <mergeCell ref="I6:K7"/>
    <mergeCell ref="I8:K9"/>
    <mergeCell ref="C8:D9"/>
    <mergeCell ref="G2:G3"/>
    <mergeCell ref="G4:G5"/>
    <mergeCell ref="G6:G7"/>
    <mergeCell ref="G8:G9"/>
    <mergeCell ref="C15:K15"/>
    <mergeCell ref="C16:D16"/>
    <mergeCell ref="C17:K17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8:D18"/>
    <mergeCell ref="C19:K19"/>
    <mergeCell ref="C11:D11"/>
    <mergeCell ref="H10:J10"/>
    <mergeCell ref="C12:D12"/>
    <mergeCell ref="C13:D13"/>
    <mergeCell ref="C14:D14"/>
    <mergeCell ref="C25:D25"/>
    <mergeCell ref="C26:D26"/>
    <mergeCell ref="C10:D10"/>
    <mergeCell ref="C27:D27"/>
    <mergeCell ref="C28:K28"/>
    <mergeCell ref="C29:D29"/>
    <mergeCell ref="C20:D20"/>
    <mergeCell ref="C21:D21"/>
    <mergeCell ref="C22:D22"/>
    <mergeCell ref="C23:D23"/>
    <mergeCell ref="C24:K24"/>
    <mergeCell ref="C35:D35"/>
    <mergeCell ref="C36:K36"/>
    <mergeCell ref="C37:D37"/>
    <mergeCell ref="C38:D38"/>
    <mergeCell ref="C39:K39"/>
    <mergeCell ref="C30:D30"/>
    <mergeCell ref="C31:K31"/>
    <mergeCell ref="C32:D32"/>
    <mergeCell ref="C33:K33"/>
    <mergeCell ref="C34:D3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55:K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65:D65"/>
    <mergeCell ref="C66:D66"/>
    <mergeCell ref="C67:K67"/>
    <mergeCell ref="C68:D68"/>
    <mergeCell ref="C69:D69"/>
    <mergeCell ref="C60:D60"/>
    <mergeCell ref="C61:D61"/>
    <mergeCell ref="C62:D62"/>
    <mergeCell ref="C63:D63"/>
    <mergeCell ref="C64:K64"/>
    <mergeCell ref="C75:D75"/>
    <mergeCell ref="C76:D76"/>
    <mergeCell ref="C77:D77"/>
    <mergeCell ref="C78:D78"/>
    <mergeCell ref="C79:D79"/>
    <mergeCell ref="C70:D70"/>
    <mergeCell ref="C71:D71"/>
    <mergeCell ref="C72:D72"/>
    <mergeCell ref="C73:K73"/>
    <mergeCell ref="C74:D74"/>
    <mergeCell ref="H90:I90"/>
    <mergeCell ref="A92:K92"/>
    <mergeCell ref="C85:D85"/>
    <mergeCell ref="C86:D86"/>
    <mergeCell ref="C87:K87"/>
    <mergeCell ref="C88:D88"/>
    <mergeCell ref="C89:D89"/>
    <mergeCell ref="C80:D80"/>
    <mergeCell ref="C81:D81"/>
    <mergeCell ref="C82:D82"/>
    <mergeCell ref="C83:K83"/>
    <mergeCell ref="C84:D84"/>
  </mergeCells>
  <pageMargins left="0.39370078740157483" right="0.39370078740157483" top="0.59055118110236227" bottom="0.59055118110236227" header="0" footer="0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workbookViewId="0">
      <selection activeCell="A145" sqref="A145:G145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42.85546875" customWidth="1"/>
    <col min="5" max="5" width="52.4257812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125" t="s">
        <v>277</v>
      </c>
      <c r="B1" s="125"/>
      <c r="C1" s="125"/>
      <c r="D1" s="125"/>
      <c r="E1" s="125"/>
      <c r="F1" s="125"/>
      <c r="G1" s="125"/>
      <c r="H1" s="125"/>
    </row>
    <row r="2" spans="1:8" x14ac:dyDescent="0.25">
      <c r="A2" s="126" t="s">
        <v>1</v>
      </c>
      <c r="B2" s="127"/>
      <c r="C2" s="132" t="str">
        <f>'Stavební rozpočet'!C2</f>
        <v>KOLÍN, HUSOVA 112, ÚPRAVY BYT. JEDNOTKY Ć. 9</v>
      </c>
      <c r="D2" s="133"/>
      <c r="E2" s="123" t="s">
        <v>5</v>
      </c>
      <c r="F2" s="123" t="str">
        <f>'Stavební rozpočet'!I2</f>
        <v>Město Kolín, Karlovo náměstí  78</v>
      </c>
      <c r="G2" s="127"/>
      <c r="H2" s="129"/>
    </row>
    <row r="3" spans="1:8" ht="15" customHeight="1" x14ac:dyDescent="0.25">
      <c r="A3" s="128"/>
      <c r="B3" s="84"/>
      <c r="C3" s="134"/>
      <c r="D3" s="134"/>
      <c r="E3" s="84"/>
      <c r="F3" s="84"/>
      <c r="G3" s="84"/>
      <c r="H3" s="130"/>
    </row>
    <row r="4" spans="1:8" x14ac:dyDescent="0.25">
      <c r="A4" s="121" t="s">
        <v>7</v>
      </c>
      <c r="B4" s="84"/>
      <c r="C4" s="83" t="str">
        <f>'Stavební rozpočet'!C4</f>
        <v>Opravy a stavební úpravy byt. jednotky č.9</v>
      </c>
      <c r="D4" s="84"/>
      <c r="E4" s="83" t="s">
        <v>11</v>
      </c>
      <c r="F4" s="83" t="str">
        <f>'Stavební rozpočet'!I4</f>
        <v>Ing. M. Outlý, O-pro servis Kolín</v>
      </c>
      <c r="G4" s="84"/>
      <c r="H4" s="130"/>
    </row>
    <row r="5" spans="1:8" ht="15" customHeight="1" x14ac:dyDescent="0.25">
      <c r="A5" s="128"/>
      <c r="B5" s="84"/>
      <c r="C5" s="84"/>
      <c r="D5" s="84"/>
      <c r="E5" s="84"/>
      <c r="F5" s="84"/>
      <c r="G5" s="84"/>
      <c r="H5" s="130"/>
    </row>
    <row r="6" spans="1:8" x14ac:dyDescent="0.25">
      <c r="A6" s="121" t="s">
        <v>13</v>
      </c>
      <c r="B6" s="84"/>
      <c r="C6" s="83" t="str">
        <f>'Stavební rozpočet'!C6</f>
        <v>Kolín, Husova 112</v>
      </c>
      <c r="D6" s="84"/>
      <c r="E6" s="83" t="s">
        <v>16</v>
      </c>
      <c r="F6" s="83" t="str">
        <f>'Stavební rozpočet'!I6</f>
        <v> </v>
      </c>
      <c r="G6" s="84"/>
      <c r="H6" s="130"/>
    </row>
    <row r="7" spans="1:8" ht="15" customHeight="1" x14ac:dyDescent="0.25">
      <c r="A7" s="128"/>
      <c r="B7" s="84"/>
      <c r="C7" s="84"/>
      <c r="D7" s="84"/>
      <c r="E7" s="84"/>
      <c r="F7" s="84"/>
      <c r="G7" s="84"/>
      <c r="H7" s="130"/>
    </row>
    <row r="8" spans="1:8" x14ac:dyDescent="0.25">
      <c r="A8" s="121" t="s">
        <v>21</v>
      </c>
      <c r="B8" s="84"/>
      <c r="C8" s="83" t="str">
        <f>'Stavební rozpočet'!I8</f>
        <v> </v>
      </c>
      <c r="D8" s="84"/>
      <c r="E8" s="83" t="s">
        <v>20</v>
      </c>
      <c r="F8" s="83" t="str">
        <f>'Stavební rozpočet'!G8</f>
        <v>16.04.2025</v>
      </c>
      <c r="G8" s="84"/>
      <c r="H8" s="130"/>
    </row>
    <row r="9" spans="1:8" x14ac:dyDescent="0.25">
      <c r="A9" s="148"/>
      <c r="B9" s="143"/>
      <c r="C9" s="143"/>
      <c r="D9" s="143"/>
      <c r="E9" s="143"/>
      <c r="F9" s="143"/>
      <c r="G9" s="143"/>
      <c r="H9" s="144"/>
    </row>
    <row r="10" spans="1:8" x14ac:dyDescent="0.25">
      <c r="A10" s="47" t="s">
        <v>22</v>
      </c>
      <c r="B10" s="48" t="s">
        <v>278</v>
      </c>
      <c r="C10" s="48" t="s">
        <v>23</v>
      </c>
      <c r="D10" s="162" t="s">
        <v>24</v>
      </c>
      <c r="E10" s="163"/>
      <c r="F10" s="48" t="s">
        <v>25</v>
      </c>
      <c r="G10" s="49" t="s">
        <v>26</v>
      </c>
      <c r="H10" s="50" t="s">
        <v>279</v>
      </c>
    </row>
    <row r="11" spans="1:8" x14ac:dyDescent="0.25">
      <c r="A11" s="51" t="s">
        <v>51</v>
      </c>
      <c r="B11" s="20" t="s">
        <v>51</v>
      </c>
      <c r="C11" s="20" t="s">
        <v>52</v>
      </c>
      <c r="D11" s="157" t="s">
        <v>53</v>
      </c>
      <c r="E11" s="157"/>
      <c r="F11" s="20" t="s">
        <v>51</v>
      </c>
      <c r="G11" s="52" t="s">
        <v>51</v>
      </c>
      <c r="H11" s="23" t="s">
        <v>51</v>
      </c>
    </row>
    <row r="12" spans="1:8" x14ac:dyDescent="0.25">
      <c r="A12" s="2" t="s">
        <v>54</v>
      </c>
      <c r="B12" s="3" t="s">
        <v>51</v>
      </c>
      <c r="C12" s="3" t="s">
        <v>55</v>
      </c>
      <c r="D12" s="84" t="s">
        <v>56</v>
      </c>
      <c r="E12" s="84"/>
      <c r="F12" s="3" t="s">
        <v>57</v>
      </c>
      <c r="G12" s="24">
        <v>2.8929999999999998</v>
      </c>
      <c r="H12" s="45">
        <v>0</v>
      </c>
    </row>
    <row r="13" spans="1:8" x14ac:dyDescent="0.25">
      <c r="A13" s="27"/>
      <c r="D13" s="53" t="s">
        <v>280</v>
      </c>
      <c r="E13" s="160" t="s">
        <v>51</v>
      </c>
      <c r="F13" s="160"/>
      <c r="G13" s="54">
        <v>2.8929999999999998</v>
      </c>
      <c r="H13" s="55"/>
    </row>
    <row r="14" spans="1:8" x14ac:dyDescent="0.25">
      <c r="A14" s="2" t="s">
        <v>62</v>
      </c>
      <c r="B14" s="3" t="s">
        <v>51</v>
      </c>
      <c r="C14" s="3" t="s">
        <v>63</v>
      </c>
      <c r="D14" s="84" t="s">
        <v>64</v>
      </c>
      <c r="E14" s="84"/>
      <c r="F14" s="3" t="s">
        <v>57</v>
      </c>
      <c r="G14" s="24">
        <v>8.0740999999999996</v>
      </c>
      <c r="H14" s="45">
        <v>0</v>
      </c>
    </row>
    <row r="15" spans="1:8" x14ac:dyDescent="0.25">
      <c r="A15" s="27"/>
      <c r="D15" s="53" t="s">
        <v>281</v>
      </c>
      <c r="E15" s="160" t="s">
        <v>51</v>
      </c>
      <c r="F15" s="160"/>
      <c r="G15" s="54">
        <v>8.0740999999999996</v>
      </c>
      <c r="H15" s="55"/>
    </row>
    <row r="16" spans="1:8" x14ac:dyDescent="0.25">
      <c r="A16" s="2" t="s">
        <v>67</v>
      </c>
      <c r="B16" s="3" t="s">
        <v>51</v>
      </c>
      <c r="C16" s="3" t="s">
        <v>68</v>
      </c>
      <c r="D16" s="84" t="s">
        <v>69</v>
      </c>
      <c r="E16" s="84"/>
      <c r="F16" s="3" t="s">
        <v>57</v>
      </c>
      <c r="G16" s="24">
        <v>9.7573000000000008</v>
      </c>
      <c r="H16" s="45">
        <v>0</v>
      </c>
    </row>
    <row r="17" spans="1:8" x14ac:dyDescent="0.25">
      <c r="A17" s="27"/>
      <c r="D17" s="53" t="s">
        <v>282</v>
      </c>
      <c r="E17" s="160" t="s">
        <v>51</v>
      </c>
      <c r="F17" s="160"/>
      <c r="G17" s="54">
        <v>9.7573000000000008</v>
      </c>
      <c r="H17" s="55"/>
    </row>
    <row r="18" spans="1:8" x14ac:dyDescent="0.25">
      <c r="A18" s="2" t="s">
        <v>71</v>
      </c>
      <c r="B18" s="3" t="s">
        <v>51</v>
      </c>
      <c r="C18" s="3" t="s">
        <v>72</v>
      </c>
      <c r="D18" s="84" t="s">
        <v>73</v>
      </c>
      <c r="E18" s="84"/>
      <c r="F18" s="3" t="s">
        <v>57</v>
      </c>
      <c r="G18" s="24">
        <v>2.63</v>
      </c>
      <c r="H18" s="45">
        <v>0</v>
      </c>
    </row>
    <row r="19" spans="1:8" x14ac:dyDescent="0.25">
      <c r="A19" s="27"/>
      <c r="D19" s="53" t="s">
        <v>283</v>
      </c>
      <c r="E19" s="160" t="s">
        <v>51</v>
      </c>
      <c r="F19" s="160"/>
      <c r="G19" s="54">
        <v>2.63</v>
      </c>
      <c r="H19" s="55"/>
    </row>
    <row r="20" spans="1:8" x14ac:dyDescent="0.25">
      <c r="A20" s="56" t="s">
        <v>51</v>
      </c>
      <c r="B20" s="30" t="s">
        <v>51</v>
      </c>
      <c r="C20" s="30" t="s">
        <v>75</v>
      </c>
      <c r="D20" s="154" t="s">
        <v>76</v>
      </c>
      <c r="E20" s="154"/>
      <c r="F20" s="30" t="s">
        <v>51</v>
      </c>
      <c r="G20" s="10" t="s">
        <v>51</v>
      </c>
      <c r="H20" s="32" t="s">
        <v>51</v>
      </c>
    </row>
    <row r="21" spans="1:8" x14ac:dyDescent="0.25">
      <c r="A21" s="2" t="s">
        <v>77</v>
      </c>
      <c r="B21" s="3" t="s">
        <v>51</v>
      </c>
      <c r="C21" s="3" t="s">
        <v>78</v>
      </c>
      <c r="D21" s="84" t="s">
        <v>79</v>
      </c>
      <c r="E21" s="84"/>
      <c r="F21" s="3" t="s">
        <v>57</v>
      </c>
      <c r="G21" s="24">
        <v>51.7</v>
      </c>
      <c r="H21" s="45">
        <v>0</v>
      </c>
    </row>
    <row r="22" spans="1:8" x14ac:dyDescent="0.25">
      <c r="A22" s="27"/>
      <c r="D22" s="53" t="s">
        <v>284</v>
      </c>
      <c r="E22" s="160" t="s">
        <v>51</v>
      </c>
      <c r="F22" s="160"/>
      <c r="G22" s="54">
        <v>51.7</v>
      </c>
      <c r="H22" s="55"/>
    </row>
    <row r="23" spans="1:8" x14ac:dyDescent="0.25">
      <c r="A23" s="2" t="s">
        <v>82</v>
      </c>
      <c r="B23" s="3" t="s">
        <v>51</v>
      </c>
      <c r="C23" s="3" t="s">
        <v>83</v>
      </c>
      <c r="D23" s="84" t="s">
        <v>84</v>
      </c>
      <c r="E23" s="84"/>
      <c r="F23" s="3" t="s">
        <v>57</v>
      </c>
      <c r="G23" s="24">
        <v>143</v>
      </c>
      <c r="H23" s="45">
        <v>0</v>
      </c>
    </row>
    <row r="24" spans="1:8" x14ac:dyDescent="0.25">
      <c r="A24" s="27"/>
      <c r="D24" s="53" t="s">
        <v>285</v>
      </c>
      <c r="E24" s="160" t="s">
        <v>51</v>
      </c>
      <c r="F24" s="160"/>
      <c r="G24" s="54">
        <v>143</v>
      </c>
      <c r="H24" s="55"/>
    </row>
    <row r="25" spans="1:8" x14ac:dyDescent="0.25">
      <c r="A25" s="2" t="s">
        <v>85</v>
      </c>
      <c r="B25" s="3" t="s">
        <v>51</v>
      </c>
      <c r="C25" s="3" t="s">
        <v>86</v>
      </c>
      <c r="D25" s="84" t="s">
        <v>87</v>
      </c>
      <c r="E25" s="84"/>
      <c r="F25" s="3" t="s">
        <v>57</v>
      </c>
      <c r="G25" s="24">
        <v>143</v>
      </c>
      <c r="H25" s="45">
        <v>0</v>
      </c>
    </row>
    <row r="26" spans="1:8" x14ac:dyDescent="0.25">
      <c r="A26" s="27"/>
      <c r="D26" s="53" t="s">
        <v>285</v>
      </c>
      <c r="E26" s="160" t="s">
        <v>51</v>
      </c>
      <c r="F26" s="160"/>
      <c r="G26" s="54">
        <v>143</v>
      </c>
      <c r="H26" s="55"/>
    </row>
    <row r="27" spans="1:8" x14ac:dyDescent="0.25">
      <c r="A27" s="2" t="s">
        <v>89</v>
      </c>
      <c r="B27" s="3" t="s">
        <v>51</v>
      </c>
      <c r="C27" s="3" t="s">
        <v>90</v>
      </c>
      <c r="D27" s="84" t="s">
        <v>91</v>
      </c>
      <c r="E27" s="84"/>
      <c r="F27" s="3" t="s">
        <v>57</v>
      </c>
      <c r="G27" s="24">
        <v>143.012</v>
      </c>
      <c r="H27" s="45">
        <v>0</v>
      </c>
    </row>
    <row r="28" spans="1:8" x14ac:dyDescent="0.25">
      <c r="A28" s="27"/>
      <c r="D28" s="53" t="s">
        <v>286</v>
      </c>
      <c r="E28" s="160" t="s">
        <v>51</v>
      </c>
      <c r="F28" s="160"/>
      <c r="G28" s="54">
        <v>19.221</v>
      </c>
      <c r="H28" s="55"/>
    </row>
    <row r="29" spans="1:8" x14ac:dyDescent="0.25">
      <c r="A29" s="2" t="s">
        <v>51</v>
      </c>
      <c r="B29" s="3" t="s">
        <v>51</v>
      </c>
      <c r="C29" s="3" t="s">
        <v>51</v>
      </c>
      <c r="D29" s="53" t="s">
        <v>287</v>
      </c>
      <c r="E29" s="160" t="s">
        <v>51</v>
      </c>
      <c r="F29" s="160"/>
      <c r="G29" s="54">
        <v>-1.6</v>
      </c>
      <c r="H29" s="25" t="s">
        <v>51</v>
      </c>
    </row>
    <row r="30" spans="1:8" x14ac:dyDescent="0.25">
      <c r="A30" s="2" t="s">
        <v>51</v>
      </c>
      <c r="B30" s="3" t="s">
        <v>51</v>
      </c>
      <c r="C30" s="3" t="s">
        <v>51</v>
      </c>
      <c r="D30" s="53" t="s">
        <v>288</v>
      </c>
      <c r="E30" s="160" t="s">
        <v>51</v>
      </c>
      <c r="F30" s="160"/>
      <c r="G30" s="54">
        <v>16.899000000000001</v>
      </c>
      <c r="H30" s="25" t="s">
        <v>51</v>
      </c>
    </row>
    <row r="31" spans="1:8" x14ac:dyDescent="0.25">
      <c r="A31" s="2" t="s">
        <v>51</v>
      </c>
      <c r="B31" s="3" t="s">
        <v>51</v>
      </c>
      <c r="C31" s="3" t="s">
        <v>51</v>
      </c>
      <c r="D31" s="53" t="s">
        <v>287</v>
      </c>
      <c r="E31" s="160" t="s">
        <v>51</v>
      </c>
      <c r="F31" s="160"/>
      <c r="G31" s="54">
        <v>-1.6</v>
      </c>
      <c r="H31" s="25" t="s">
        <v>51</v>
      </c>
    </row>
    <row r="32" spans="1:8" x14ac:dyDescent="0.25">
      <c r="A32" s="2" t="s">
        <v>51</v>
      </c>
      <c r="B32" s="3" t="s">
        <v>51</v>
      </c>
      <c r="C32" s="3" t="s">
        <v>51</v>
      </c>
      <c r="D32" s="53" t="s">
        <v>289</v>
      </c>
      <c r="E32" s="160" t="s">
        <v>51</v>
      </c>
      <c r="F32" s="160"/>
      <c r="G32" s="54">
        <v>40.764000000000003</v>
      </c>
      <c r="H32" s="25" t="s">
        <v>51</v>
      </c>
    </row>
    <row r="33" spans="1:8" x14ac:dyDescent="0.25">
      <c r="A33" s="2" t="s">
        <v>51</v>
      </c>
      <c r="B33" s="3" t="s">
        <v>51</v>
      </c>
      <c r="C33" s="3" t="s">
        <v>51</v>
      </c>
      <c r="D33" s="53" t="s">
        <v>290</v>
      </c>
      <c r="E33" s="160" t="s">
        <v>51</v>
      </c>
      <c r="F33" s="160"/>
      <c r="G33" s="54">
        <v>3.87</v>
      </c>
      <c r="H33" s="25" t="s">
        <v>51</v>
      </c>
    </row>
    <row r="34" spans="1:8" x14ac:dyDescent="0.25">
      <c r="A34" s="2" t="s">
        <v>51</v>
      </c>
      <c r="B34" s="3" t="s">
        <v>51</v>
      </c>
      <c r="C34" s="3" t="s">
        <v>51</v>
      </c>
      <c r="D34" s="53" t="s">
        <v>287</v>
      </c>
      <c r="E34" s="160" t="s">
        <v>51</v>
      </c>
      <c r="F34" s="160"/>
      <c r="G34" s="54">
        <v>-1.6</v>
      </c>
      <c r="H34" s="25" t="s">
        <v>51</v>
      </c>
    </row>
    <row r="35" spans="1:8" x14ac:dyDescent="0.25">
      <c r="A35" s="2" t="s">
        <v>51</v>
      </c>
      <c r="B35" s="3" t="s">
        <v>51</v>
      </c>
      <c r="C35" s="3" t="s">
        <v>51</v>
      </c>
      <c r="D35" s="53" t="s">
        <v>291</v>
      </c>
      <c r="E35" s="160" t="s">
        <v>51</v>
      </c>
      <c r="F35" s="160"/>
      <c r="G35" s="54">
        <v>50.851799999999997</v>
      </c>
      <c r="H35" s="25" t="s">
        <v>51</v>
      </c>
    </row>
    <row r="36" spans="1:8" x14ac:dyDescent="0.25">
      <c r="A36" s="2" t="s">
        <v>51</v>
      </c>
      <c r="B36" s="3" t="s">
        <v>51</v>
      </c>
      <c r="C36" s="3" t="s">
        <v>51</v>
      </c>
      <c r="D36" s="53" t="s">
        <v>292</v>
      </c>
      <c r="E36" s="160" t="s">
        <v>51</v>
      </c>
      <c r="F36" s="160"/>
      <c r="G36" s="54">
        <v>1.161</v>
      </c>
      <c r="H36" s="25" t="s">
        <v>51</v>
      </c>
    </row>
    <row r="37" spans="1:8" x14ac:dyDescent="0.25">
      <c r="A37" s="2" t="s">
        <v>51</v>
      </c>
      <c r="B37" s="3" t="s">
        <v>51</v>
      </c>
      <c r="C37" s="3" t="s">
        <v>51</v>
      </c>
      <c r="D37" s="53" t="s">
        <v>287</v>
      </c>
      <c r="E37" s="160" t="s">
        <v>51</v>
      </c>
      <c r="F37" s="160"/>
      <c r="G37" s="54">
        <v>-1.6</v>
      </c>
      <c r="H37" s="25" t="s">
        <v>51</v>
      </c>
    </row>
    <row r="38" spans="1:8" x14ac:dyDescent="0.25">
      <c r="A38" s="2" t="s">
        <v>51</v>
      </c>
      <c r="B38" s="3" t="s">
        <v>51</v>
      </c>
      <c r="C38" s="3" t="s">
        <v>51</v>
      </c>
      <c r="D38" s="53" t="s">
        <v>293</v>
      </c>
      <c r="E38" s="160" t="s">
        <v>51</v>
      </c>
      <c r="F38" s="160"/>
      <c r="G38" s="54">
        <v>25.645199999999999</v>
      </c>
      <c r="H38" s="25" t="s">
        <v>51</v>
      </c>
    </row>
    <row r="39" spans="1:8" x14ac:dyDescent="0.25">
      <c r="A39" s="2" t="s">
        <v>51</v>
      </c>
      <c r="B39" s="3" t="s">
        <v>51</v>
      </c>
      <c r="C39" s="3" t="s">
        <v>51</v>
      </c>
      <c r="D39" s="53" t="s">
        <v>294</v>
      </c>
      <c r="E39" s="160" t="s">
        <v>51</v>
      </c>
      <c r="F39" s="160"/>
      <c r="G39" s="54">
        <v>-2.4</v>
      </c>
      <c r="H39" s="25" t="s">
        <v>51</v>
      </c>
    </row>
    <row r="40" spans="1:8" x14ac:dyDescent="0.25">
      <c r="A40" s="2" t="s">
        <v>51</v>
      </c>
      <c r="B40" s="3" t="s">
        <v>51</v>
      </c>
      <c r="C40" s="3" t="s">
        <v>51</v>
      </c>
      <c r="D40" s="53" t="s">
        <v>295</v>
      </c>
      <c r="E40" s="160" t="s">
        <v>51</v>
      </c>
      <c r="F40" s="160"/>
      <c r="G40" s="54">
        <v>-4.8</v>
      </c>
      <c r="H40" s="25" t="s">
        <v>51</v>
      </c>
    </row>
    <row r="41" spans="1:8" x14ac:dyDescent="0.25">
      <c r="A41" s="2" t="s">
        <v>51</v>
      </c>
      <c r="B41" s="3" t="s">
        <v>51</v>
      </c>
      <c r="C41" s="3" t="s">
        <v>51</v>
      </c>
      <c r="D41" s="53" t="s">
        <v>296</v>
      </c>
      <c r="E41" s="160" t="s">
        <v>51</v>
      </c>
      <c r="F41" s="160"/>
      <c r="G41" s="54">
        <v>-1.8</v>
      </c>
      <c r="H41" s="25" t="s">
        <v>51</v>
      </c>
    </row>
    <row r="42" spans="1:8" x14ac:dyDescent="0.25">
      <c r="A42" s="56" t="s">
        <v>51</v>
      </c>
      <c r="B42" s="30" t="s">
        <v>51</v>
      </c>
      <c r="C42" s="30" t="s">
        <v>92</v>
      </c>
      <c r="D42" s="154" t="s">
        <v>93</v>
      </c>
      <c r="E42" s="154"/>
      <c r="F42" s="30" t="s">
        <v>51</v>
      </c>
      <c r="G42" s="10" t="s">
        <v>51</v>
      </c>
      <c r="H42" s="32" t="s">
        <v>51</v>
      </c>
    </row>
    <row r="43" spans="1:8" x14ac:dyDescent="0.25">
      <c r="A43" s="2" t="s">
        <v>94</v>
      </c>
      <c r="B43" s="3" t="s">
        <v>51</v>
      </c>
      <c r="C43" s="3" t="s">
        <v>95</v>
      </c>
      <c r="D43" s="84" t="s">
        <v>96</v>
      </c>
      <c r="E43" s="84"/>
      <c r="F43" s="3" t="s">
        <v>57</v>
      </c>
      <c r="G43" s="24">
        <v>51.7</v>
      </c>
      <c r="H43" s="45">
        <v>0</v>
      </c>
    </row>
    <row r="44" spans="1:8" x14ac:dyDescent="0.25">
      <c r="A44" s="27"/>
      <c r="D44" s="53" t="s">
        <v>284</v>
      </c>
      <c r="E44" s="160" t="s">
        <v>51</v>
      </c>
      <c r="F44" s="160"/>
      <c r="G44" s="54">
        <v>51.7</v>
      </c>
      <c r="H44" s="55"/>
    </row>
    <row r="45" spans="1:8" x14ac:dyDescent="0.25">
      <c r="A45" s="56" t="s">
        <v>51</v>
      </c>
      <c r="B45" s="30" t="s">
        <v>51</v>
      </c>
      <c r="C45" s="30" t="s">
        <v>99</v>
      </c>
      <c r="D45" s="154" t="s">
        <v>100</v>
      </c>
      <c r="E45" s="154"/>
      <c r="F45" s="30" t="s">
        <v>51</v>
      </c>
      <c r="G45" s="10" t="s">
        <v>51</v>
      </c>
      <c r="H45" s="32" t="s">
        <v>51</v>
      </c>
    </row>
    <row r="46" spans="1:8" x14ac:dyDescent="0.25">
      <c r="A46" s="2" t="s">
        <v>101</v>
      </c>
      <c r="B46" s="3" t="s">
        <v>51</v>
      </c>
      <c r="C46" s="3" t="s">
        <v>102</v>
      </c>
      <c r="D46" s="84" t="s">
        <v>103</v>
      </c>
      <c r="E46" s="84"/>
      <c r="F46" s="3" t="s">
        <v>104</v>
      </c>
      <c r="G46" s="24">
        <v>1</v>
      </c>
      <c r="H46" s="45">
        <v>0</v>
      </c>
    </row>
    <row r="47" spans="1:8" x14ac:dyDescent="0.25">
      <c r="A47" s="27"/>
      <c r="D47" s="53" t="s">
        <v>54</v>
      </c>
      <c r="E47" s="160" t="s">
        <v>51</v>
      </c>
      <c r="F47" s="160"/>
      <c r="G47" s="54">
        <v>1</v>
      </c>
      <c r="H47" s="55"/>
    </row>
    <row r="48" spans="1:8" x14ac:dyDescent="0.25">
      <c r="A48" s="2" t="s">
        <v>107</v>
      </c>
      <c r="B48" s="3" t="s">
        <v>51</v>
      </c>
      <c r="C48" s="3" t="s">
        <v>108</v>
      </c>
      <c r="D48" s="84" t="s">
        <v>109</v>
      </c>
      <c r="E48" s="84"/>
      <c r="F48" s="3" t="s">
        <v>104</v>
      </c>
      <c r="G48" s="24">
        <v>6</v>
      </c>
      <c r="H48" s="45">
        <v>0</v>
      </c>
    </row>
    <row r="49" spans="1:8" x14ac:dyDescent="0.25">
      <c r="A49" s="27"/>
      <c r="D49" s="53" t="s">
        <v>82</v>
      </c>
      <c r="E49" s="160" t="s">
        <v>51</v>
      </c>
      <c r="F49" s="160"/>
      <c r="G49" s="54">
        <v>6</v>
      </c>
      <c r="H49" s="55"/>
    </row>
    <row r="50" spans="1:8" x14ac:dyDescent="0.25">
      <c r="A50" s="56" t="s">
        <v>51</v>
      </c>
      <c r="B50" s="30" t="s">
        <v>51</v>
      </c>
      <c r="C50" s="30" t="s">
        <v>111</v>
      </c>
      <c r="D50" s="154" t="s">
        <v>112</v>
      </c>
      <c r="E50" s="154"/>
      <c r="F50" s="30" t="s">
        <v>51</v>
      </c>
      <c r="G50" s="10" t="s">
        <v>51</v>
      </c>
      <c r="H50" s="32" t="s">
        <v>51</v>
      </c>
    </row>
    <row r="51" spans="1:8" x14ac:dyDescent="0.25">
      <c r="A51" s="2" t="s">
        <v>113</v>
      </c>
      <c r="B51" s="3" t="s">
        <v>51</v>
      </c>
      <c r="C51" s="3" t="s">
        <v>114</v>
      </c>
      <c r="D51" s="84" t="s">
        <v>115</v>
      </c>
      <c r="E51" s="84"/>
      <c r="F51" s="3" t="s">
        <v>116</v>
      </c>
      <c r="G51" s="24">
        <v>1</v>
      </c>
      <c r="H51" s="45">
        <v>0</v>
      </c>
    </row>
    <row r="52" spans="1:8" x14ac:dyDescent="0.25">
      <c r="A52" s="27"/>
      <c r="D52" s="53" t="s">
        <v>54</v>
      </c>
      <c r="E52" s="160" t="s">
        <v>51</v>
      </c>
      <c r="F52" s="160"/>
      <c r="G52" s="54">
        <v>1</v>
      </c>
      <c r="H52" s="55"/>
    </row>
    <row r="53" spans="1:8" x14ac:dyDescent="0.25">
      <c r="A53" s="56" t="s">
        <v>51</v>
      </c>
      <c r="B53" s="30" t="s">
        <v>51</v>
      </c>
      <c r="C53" s="30" t="s">
        <v>120</v>
      </c>
      <c r="D53" s="154" t="s">
        <v>121</v>
      </c>
      <c r="E53" s="154"/>
      <c r="F53" s="30" t="s">
        <v>51</v>
      </c>
      <c r="G53" s="10" t="s">
        <v>51</v>
      </c>
      <c r="H53" s="32" t="s">
        <v>51</v>
      </c>
    </row>
    <row r="54" spans="1:8" x14ac:dyDescent="0.25">
      <c r="A54" s="2" t="s">
        <v>122</v>
      </c>
      <c r="B54" s="3" t="s">
        <v>51</v>
      </c>
      <c r="C54" s="3" t="s">
        <v>123</v>
      </c>
      <c r="D54" s="84" t="s">
        <v>124</v>
      </c>
      <c r="E54" s="84"/>
      <c r="F54" s="3" t="s">
        <v>104</v>
      </c>
      <c r="G54" s="24">
        <v>1</v>
      </c>
      <c r="H54" s="45">
        <v>0</v>
      </c>
    </row>
    <row r="55" spans="1:8" x14ac:dyDescent="0.25">
      <c r="A55" s="27"/>
      <c r="D55" s="53" t="s">
        <v>54</v>
      </c>
      <c r="E55" s="160" t="s">
        <v>51</v>
      </c>
      <c r="F55" s="160"/>
      <c r="G55" s="54">
        <v>1</v>
      </c>
      <c r="H55" s="55"/>
    </row>
    <row r="56" spans="1:8" x14ac:dyDescent="0.25">
      <c r="A56" s="2" t="s">
        <v>127</v>
      </c>
      <c r="B56" s="3" t="s">
        <v>51</v>
      </c>
      <c r="C56" s="3" t="s">
        <v>128</v>
      </c>
      <c r="D56" s="84" t="s">
        <v>129</v>
      </c>
      <c r="E56" s="84"/>
      <c r="F56" s="3" t="s">
        <v>130</v>
      </c>
      <c r="G56" s="24">
        <v>1</v>
      </c>
      <c r="H56" s="45">
        <v>0</v>
      </c>
    </row>
    <row r="57" spans="1:8" x14ac:dyDescent="0.25">
      <c r="A57" s="27"/>
      <c r="D57" s="53" t="s">
        <v>54</v>
      </c>
      <c r="E57" s="160" t="s">
        <v>51</v>
      </c>
      <c r="F57" s="160"/>
      <c r="G57" s="54">
        <v>1</v>
      </c>
      <c r="H57" s="55"/>
    </row>
    <row r="58" spans="1:8" x14ac:dyDescent="0.25">
      <c r="A58" s="56" t="s">
        <v>51</v>
      </c>
      <c r="B58" s="30" t="s">
        <v>51</v>
      </c>
      <c r="C58" s="30" t="s">
        <v>131</v>
      </c>
      <c r="D58" s="154" t="s">
        <v>132</v>
      </c>
      <c r="E58" s="154"/>
      <c r="F58" s="30" t="s">
        <v>51</v>
      </c>
      <c r="G58" s="10" t="s">
        <v>51</v>
      </c>
      <c r="H58" s="32" t="s">
        <v>51</v>
      </c>
    </row>
    <row r="59" spans="1:8" x14ac:dyDescent="0.25">
      <c r="A59" s="2" t="s">
        <v>133</v>
      </c>
      <c r="B59" s="3" t="s">
        <v>51</v>
      </c>
      <c r="C59" s="3" t="s">
        <v>134</v>
      </c>
      <c r="D59" s="84" t="s">
        <v>135</v>
      </c>
      <c r="E59" s="84"/>
      <c r="F59" s="3" t="s">
        <v>104</v>
      </c>
      <c r="G59" s="24">
        <v>1</v>
      </c>
      <c r="H59" s="45">
        <v>0</v>
      </c>
    </row>
    <row r="60" spans="1:8" x14ac:dyDescent="0.25">
      <c r="A60" s="27"/>
      <c r="D60" s="53" t="s">
        <v>54</v>
      </c>
      <c r="E60" s="160" t="s">
        <v>51</v>
      </c>
      <c r="F60" s="160"/>
      <c r="G60" s="54">
        <v>1</v>
      </c>
      <c r="H60" s="55"/>
    </row>
    <row r="61" spans="1:8" x14ac:dyDescent="0.25">
      <c r="A61" s="2" t="s">
        <v>137</v>
      </c>
      <c r="B61" s="3" t="s">
        <v>51</v>
      </c>
      <c r="C61" s="3" t="s">
        <v>138</v>
      </c>
      <c r="D61" s="84" t="s">
        <v>139</v>
      </c>
      <c r="E61" s="84"/>
      <c r="F61" s="3" t="s">
        <v>116</v>
      </c>
      <c r="G61" s="24">
        <v>1</v>
      </c>
      <c r="H61" s="45">
        <v>0</v>
      </c>
    </row>
    <row r="62" spans="1:8" x14ac:dyDescent="0.25">
      <c r="A62" s="27"/>
      <c r="D62" s="53" t="s">
        <v>54</v>
      </c>
      <c r="E62" s="160" t="s">
        <v>51</v>
      </c>
      <c r="F62" s="160"/>
      <c r="G62" s="54">
        <v>1</v>
      </c>
      <c r="H62" s="55"/>
    </row>
    <row r="63" spans="1:8" x14ac:dyDescent="0.25">
      <c r="A63" s="56" t="s">
        <v>51</v>
      </c>
      <c r="B63" s="30" t="s">
        <v>51</v>
      </c>
      <c r="C63" s="30" t="s">
        <v>140</v>
      </c>
      <c r="D63" s="154" t="s">
        <v>141</v>
      </c>
      <c r="E63" s="154"/>
      <c r="F63" s="30" t="s">
        <v>51</v>
      </c>
      <c r="G63" s="10" t="s">
        <v>51</v>
      </c>
      <c r="H63" s="32" t="s">
        <v>51</v>
      </c>
    </row>
    <row r="64" spans="1:8" x14ac:dyDescent="0.25">
      <c r="A64" s="2" t="s">
        <v>142</v>
      </c>
      <c r="B64" s="3" t="s">
        <v>51</v>
      </c>
      <c r="C64" s="3" t="s">
        <v>143</v>
      </c>
      <c r="D64" s="84" t="s">
        <v>144</v>
      </c>
      <c r="E64" s="84"/>
      <c r="F64" s="3" t="s">
        <v>116</v>
      </c>
      <c r="G64" s="24">
        <v>1</v>
      </c>
      <c r="H64" s="45">
        <v>0</v>
      </c>
    </row>
    <row r="65" spans="1:8" x14ac:dyDescent="0.25">
      <c r="A65" s="27"/>
      <c r="D65" s="53" t="s">
        <v>54</v>
      </c>
      <c r="E65" s="160" t="s">
        <v>51</v>
      </c>
      <c r="F65" s="160"/>
      <c r="G65" s="54">
        <v>1</v>
      </c>
      <c r="H65" s="55"/>
    </row>
    <row r="66" spans="1:8" x14ac:dyDescent="0.25">
      <c r="A66" s="56" t="s">
        <v>51</v>
      </c>
      <c r="B66" s="30" t="s">
        <v>51</v>
      </c>
      <c r="C66" s="30" t="s">
        <v>147</v>
      </c>
      <c r="D66" s="154" t="s">
        <v>148</v>
      </c>
      <c r="E66" s="154"/>
      <c r="F66" s="30" t="s">
        <v>51</v>
      </c>
      <c r="G66" s="10" t="s">
        <v>51</v>
      </c>
      <c r="H66" s="32" t="s">
        <v>51</v>
      </c>
    </row>
    <row r="67" spans="1:8" x14ac:dyDescent="0.25">
      <c r="A67" s="2" t="s">
        <v>149</v>
      </c>
      <c r="B67" s="3" t="s">
        <v>51</v>
      </c>
      <c r="C67" s="3" t="s">
        <v>150</v>
      </c>
      <c r="D67" s="84" t="s">
        <v>151</v>
      </c>
      <c r="E67" s="84"/>
      <c r="F67" s="3" t="s">
        <v>104</v>
      </c>
      <c r="G67" s="24">
        <v>5</v>
      </c>
      <c r="H67" s="45">
        <v>0</v>
      </c>
    </row>
    <row r="68" spans="1:8" x14ac:dyDescent="0.25">
      <c r="A68" s="27"/>
      <c r="D68" s="53" t="s">
        <v>77</v>
      </c>
      <c r="E68" s="160" t="s">
        <v>51</v>
      </c>
      <c r="F68" s="160"/>
      <c r="G68" s="54">
        <v>5</v>
      </c>
      <c r="H68" s="55"/>
    </row>
    <row r="69" spans="1:8" x14ac:dyDescent="0.25">
      <c r="A69" s="2" t="s">
        <v>154</v>
      </c>
      <c r="B69" s="3" t="s">
        <v>51</v>
      </c>
      <c r="C69" s="3" t="s">
        <v>155</v>
      </c>
      <c r="D69" s="84" t="s">
        <v>156</v>
      </c>
      <c r="E69" s="84"/>
      <c r="F69" s="3" t="s">
        <v>104</v>
      </c>
      <c r="G69" s="24">
        <v>1</v>
      </c>
      <c r="H69" s="45">
        <v>0</v>
      </c>
    </row>
    <row r="70" spans="1:8" x14ac:dyDescent="0.25">
      <c r="A70" s="27"/>
      <c r="D70" s="53" t="s">
        <v>54</v>
      </c>
      <c r="E70" s="160" t="s">
        <v>51</v>
      </c>
      <c r="F70" s="160"/>
      <c r="G70" s="54">
        <v>1</v>
      </c>
      <c r="H70" s="55"/>
    </row>
    <row r="71" spans="1:8" x14ac:dyDescent="0.25">
      <c r="A71" s="2" t="s">
        <v>157</v>
      </c>
      <c r="B71" s="3" t="s">
        <v>51</v>
      </c>
      <c r="C71" s="3" t="s">
        <v>158</v>
      </c>
      <c r="D71" s="84" t="s">
        <v>159</v>
      </c>
      <c r="E71" s="84"/>
      <c r="F71" s="3" t="s">
        <v>104</v>
      </c>
      <c r="G71" s="24">
        <v>1</v>
      </c>
      <c r="H71" s="45">
        <v>0</v>
      </c>
    </row>
    <row r="72" spans="1:8" x14ac:dyDescent="0.25">
      <c r="A72" s="27"/>
      <c r="D72" s="53" t="s">
        <v>54</v>
      </c>
      <c r="E72" s="160" t="s">
        <v>51</v>
      </c>
      <c r="F72" s="160"/>
      <c r="G72" s="54">
        <v>1</v>
      </c>
      <c r="H72" s="55"/>
    </row>
    <row r="73" spans="1:8" x14ac:dyDescent="0.25">
      <c r="A73" s="2" t="s">
        <v>160</v>
      </c>
      <c r="B73" s="3" t="s">
        <v>51</v>
      </c>
      <c r="C73" s="3" t="s">
        <v>161</v>
      </c>
      <c r="D73" s="84" t="s">
        <v>162</v>
      </c>
      <c r="E73" s="84"/>
      <c r="F73" s="3" t="s">
        <v>104</v>
      </c>
      <c r="G73" s="24">
        <v>2</v>
      </c>
      <c r="H73" s="45">
        <v>0</v>
      </c>
    </row>
    <row r="74" spans="1:8" x14ac:dyDescent="0.25">
      <c r="A74" s="27"/>
      <c r="D74" s="53" t="s">
        <v>62</v>
      </c>
      <c r="E74" s="160" t="s">
        <v>51</v>
      </c>
      <c r="F74" s="160"/>
      <c r="G74" s="54">
        <v>2</v>
      </c>
      <c r="H74" s="55"/>
    </row>
    <row r="75" spans="1:8" x14ac:dyDescent="0.25">
      <c r="A75" s="2" t="s">
        <v>163</v>
      </c>
      <c r="B75" s="3" t="s">
        <v>51</v>
      </c>
      <c r="C75" s="3" t="s">
        <v>164</v>
      </c>
      <c r="D75" s="84" t="s">
        <v>165</v>
      </c>
      <c r="E75" s="84"/>
      <c r="F75" s="3" t="s">
        <v>104</v>
      </c>
      <c r="G75" s="24">
        <v>2</v>
      </c>
      <c r="H75" s="45">
        <v>0</v>
      </c>
    </row>
    <row r="76" spans="1:8" x14ac:dyDescent="0.25">
      <c r="A76" s="27"/>
      <c r="D76" s="53" t="s">
        <v>62</v>
      </c>
      <c r="E76" s="160" t="s">
        <v>51</v>
      </c>
      <c r="F76" s="160"/>
      <c r="G76" s="54">
        <v>2</v>
      </c>
      <c r="H76" s="55"/>
    </row>
    <row r="77" spans="1:8" x14ac:dyDescent="0.25">
      <c r="A77" s="2" t="s">
        <v>166</v>
      </c>
      <c r="B77" s="3" t="s">
        <v>51</v>
      </c>
      <c r="C77" s="3" t="s">
        <v>167</v>
      </c>
      <c r="D77" s="84" t="s">
        <v>168</v>
      </c>
      <c r="E77" s="84"/>
      <c r="F77" s="3" t="s">
        <v>104</v>
      </c>
      <c r="G77" s="24">
        <v>1</v>
      </c>
      <c r="H77" s="45">
        <v>0</v>
      </c>
    </row>
    <row r="78" spans="1:8" x14ac:dyDescent="0.25">
      <c r="A78" s="27"/>
      <c r="D78" s="53" t="s">
        <v>54</v>
      </c>
      <c r="E78" s="160" t="s">
        <v>51</v>
      </c>
      <c r="F78" s="160"/>
      <c r="G78" s="54">
        <v>1</v>
      </c>
      <c r="H78" s="55"/>
    </row>
    <row r="79" spans="1:8" x14ac:dyDescent="0.25">
      <c r="A79" s="56" t="s">
        <v>51</v>
      </c>
      <c r="B79" s="30" t="s">
        <v>51</v>
      </c>
      <c r="C79" s="30" t="s">
        <v>169</v>
      </c>
      <c r="D79" s="154" t="s">
        <v>170</v>
      </c>
      <c r="E79" s="154"/>
      <c r="F79" s="30" t="s">
        <v>51</v>
      </c>
      <c r="G79" s="10" t="s">
        <v>51</v>
      </c>
      <c r="H79" s="32" t="s">
        <v>51</v>
      </c>
    </row>
    <row r="80" spans="1:8" x14ac:dyDescent="0.25">
      <c r="A80" s="2" t="s">
        <v>171</v>
      </c>
      <c r="B80" s="3" t="s">
        <v>51</v>
      </c>
      <c r="C80" s="3" t="s">
        <v>172</v>
      </c>
      <c r="D80" s="84" t="s">
        <v>173</v>
      </c>
      <c r="E80" s="84"/>
      <c r="F80" s="3" t="s">
        <v>57</v>
      </c>
      <c r="G80" s="24">
        <v>13.8</v>
      </c>
      <c r="H80" s="45">
        <v>0</v>
      </c>
    </row>
    <row r="81" spans="1:8" x14ac:dyDescent="0.25">
      <c r="A81" s="27"/>
      <c r="D81" s="53" t="s">
        <v>297</v>
      </c>
      <c r="E81" s="160" t="s">
        <v>51</v>
      </c>
      <c r="F81" s="160"/>
      <c r="G81" s="54">
        <v>13.8</v>
      </c>
      <c r="H81" s="55"/>
    </row>
    <row r="82" spans="1:8" x14ac:dyDescent="0.25">
      <c r="A82" s="2" t="s">
        <v>176</v>
      </c>
      <c r="B82" s="3" t="s">
        <v>51</v>
      </c>
      <c r="C82" s="3" t="s">
        <v>177</v>
      </c>
      <c r="D82" s="84" t="s">
        <v>178</v>
      </c>
      <c r="E82" s="84"/>
      <c r="F82" s="3" t="s">
        <v>179</v>
      </c>
      <c r="G82" s="24">
        <v>1</v>
      </c>
      <c r="H82" s="45">
        <v>0</v>
      </c>
    </row>
    <row r="83" spans="1:8" x14ac:dyDescent="0.25">
      <c r="A83" s="27"/>
      <c r="D83" s="53" t="s">
        <v>54</v>
      </c>
      <c r="E83" s="160" t="s">
        <v>51</v>
      </c>
      <c r="F83" s="160"/>
      <c r="G83" s="54">
        <v>1</v>
      </c>
      <c r="H83" s="55"/>
    </row>
    <row r="84" spans="1:8" x14ac:dyDescent="0.25">
      <c r="A84" s="2" t="s">
        <v>180</v>
      </c>
      <c r="B84" s="3" t="s">
        <v>51</v>
      </c>
      <c r="C84" s="3" t="s">
        <v>181</v>
      </c>
      <c r="D84" s="84" t="s">
        <v>182</v>
      </c>
      <c r="E84" s="84"/>
      <c r="F84" s="3" t="s">
        <v>183</v>
      </c>
      <c r="G84" s="24">
        <v>1</v>
      </c>
      <c r="H84" s="45">
        <v>0</v>
      </c>
    </row>
    <row r="85" spans="1:8" x14ac:dyDescent="0.25">
      <c r="A85" s="27"/>
      <c r="D85" s="53" t="s">
        <v>54</v>
      </c>
      <c r="E85" s="160" t="s">
        <v>51</v>
      </c>
      <c r="F85" s="160"/>
      <c r="G85" s="54">
        <v>1</v>
      </c>
      <c r="H85" s="55"/>
    </row>
    <row r="86" spans="1:8" x14ac:dyDescent="0.25">
      <c r="A86" s="56" t="s">
        <v>51</v>
      </c>
      <c r="B86" s="30" t="s">
        <v>51</v>
      </c>
      <c r="C86" s="30" t="s">
        <v>184</v>
      </c>
      <c r="D86" s="154" t="s">
        <v>185</v>
      </c>
      <c r="E86" s="154"/>
      <c r="F86" s="30" t="s">
        <v>51</v>
      </c>
      <c r="G86" s="10" t="s">
        <v>51</v>
      </c>
      <c r="H86" s="32" t="s">
        <v>51</v>
      </c>
    </row>
    <row r="87" spans="1:8" x14ac:dyDescent="0.25">
      <c r="A87" s="2" t="s">
        <v>186</v>
      </c>
      <c r="B87" s="3" t="s">
        <v>51</v>
      </c>
      <c r="C87" s="3" t="s">
        <v>187</v>
      </c>
      <c r="D87" s="84" t="s">
        <v>188</v>
      </c>
      <c r="E87" s="84"/>
      <c r="F87" s="3" t="s">
        <v>57</v>
      </c>
      <c r="G87" s="24">
        <v>5.55</v>
      </c>
      <c r="H87" s="45">
        <v>0</v>
      </c>
    </row>
    <row r="88" spans="1:8" x14ac:dyDescent="0.25">
      <c r="A88" s="27"/>
      <c r="D88" s="53" t="s">
        <v>298</v>
      </c>
      <c r="E88" s="160" t="s">
        <v>51</v>
      </c>
      <c r="F88" s="160"/>
      <c r="G88" s="54">
        <v>5.55</v>
      </c>
      <c r="H88" s="55"/>
    </row>
    <row r="89" spans="1:8" x14ac:dyDescent="0.25">
      <c r="A89" s="2" t="s">
        <v>191</v>
      </c>
      <c r="B89" s="3" t="s">
        <v>51</v>
      </c>
      <c r="C89" s="3" t="s">
        <v>192</v>
      </c>
      <c r="D89" s="84" t="s">
        <v>193</v>
      </c>
      <c r="E89" s="84"/>
      <c r="F89" s="3" t="s">
        <v>57</v>
      </c>
      <c r="G89" s="24">
        <v>5.9939999999999998</v>
      </c>
      <c r="H89" s="45">
        <v>0</v>
      </c>
    </row>
    <row r="90" spans="1:8" x14ac:dyDescent="0.25">
      <c r="A90" s="27"/>
      <c r="D90" s="53" t="s">
        <v>298</v>
      </c>
      <c r="E90" s="160" t="s">
        <v>51</v>
      </c>
      <c r="F90" s="160"/>
      <c r="G90" s="54">
        <v>5.55</v>
      </c>
      <c r="H90" s="55"/>
    </row>
    <row r="91" spans="1:8" x14ac:dyDescent="0.25">
      <c r="A91" s="2" t="s">
        <v>51</v>
      </c>
      <c r="B91" s="3" t="s">
        <v>51</v>
      </c>
      <c r="C91" s="3" t="s">
        <v>51</v>
      </c>
      <c r="D91" s="53" t="s">
        <v>299</v>
      </c>
      <c r="E91" s="160" t="s">
        <v>51</v>
      </c>
      <c r="F91" s="160"/>
      <c r="G91" s="54">
        <v>0.44400000000000001</v>
      </c>
      <c r="H91" s="25" t="s">
        <v>51</v>
      </c>
    </row>
    <row r="92" spans="1:8" x14ac:dyDescent="0.25">
      <c r="A92" s="56" t="s">
        <v>51</v>
      </c>
      <c r="B92" s="30" t="s">
        <v>51</v>
      </c>
      <c r="C92" s="30" t="s">
        <v>194</v>
      </c>
      <c r="D92" s="154" t="s">
        <v>195</v>
      </c>
      <c r="E92" s="154"/>
      <c r="F92" s="30" t="s">
        <v>51</v>
      </c>
      <c r="G92" s="10" t="s">
        <v>51</v>
      </c>
      <c r="H92" s="32" t="s">
        <v>51</v>
      </c>
    </row>
    <row r="93" spans="1:8" x14ac:dyDescent="0.25">
      <c r="A93" s="2" t="s">
        <v>196</v>
      </c>
      <c r="B93" s="3" t="s">
        <v>51</v>
      </c>
      <c r="C93" s="3" t="s">
        <v>197</v>
      </c>
      <c r="D93" s="84" t="s">
        <v>198</v>
      </c>
      <c r="E93" s="84"/>
      <c r="F93" s="3" t="s">
        <v>57</v>
      </c>
      <c r="G93" s="24">
        <v>52.5</v>
      </c>
      <c r="H93" s="45">
        <v>0</v>
      </c>
    </row>
    <row r="94" spans="1:8" x14ac:dyDescent="0.25">
      <c r="A94" s="27"/>
      <c r="D94" s="53" t="s">
        <v>300</v>
      </c>
      <c r="E94" s="160" t="s">
        <v>51</v>
      </c>
      <c r="F94" s="160"/>
      <c r="G94" s="54">
        <v>52.5</v>
      </c>
      <c r="H94" s="55"/>
    </row>
    <row r="95" spans="1:8" x14ac:dyDescent="0.25">
      <c r="A95" s="2" t="s">
        <v>200</v>
      </c>
      <c r="B95" s="3" t="s">
        <v>51</v>
      </c>
      <c r="C95" s="3" t="s">
        <v>201</v>
      </c>
      <c r="D95" s="84" t="s">
        <v>202</v>
      </c>
      <c r="E95" s="84"/>
      <c r="F95" s="3" t="s">
        <v>57</v>
      </c>
      <c r="G95" s="24">
        <v>46.15</v>
      </c>
      <c r="H95" s="45">
        <v>0</v>
      </c>
    </row>
    <row r="96" spans="1:8" x14ac:dyDescent="0.25">
      <c r="A96" s="27"/>
      <c r="D96" s="53" t="s">
        <v>301</v>
      </c>
      <c r="E96" s="160" t="s">
        <v>51</v>
      </c>
      <c r="F96" s="160"/>
      <c r="G96" s="54">
        <v>46.15</v>
      </c>
      <c r="H96" s="55"/>
    </row>
    <row r="97" spans="1:8" x14ac:dyDescent="0.25">
      <c r="A97" s="56" t="s">
        <v>51</v>
      </c>
      <c r="B97" s="30" t="s">
        <v>51</v>
      </c>
      <c r="C97" s="30" t="s">
        <v>204</v>
      </c>
      <c r="D97" s="154" t="s">
        <v>205</v>
      </c>
      <c r="E97" s="154"/>
      <c r="F97" s="30" t="s">
        <v>51</v>
      </c>
      <c r="G97" s="10" t="s">
        <v>51</v>
      </c>
      <c r="H97" s="32" t="s">
        <v>51</v>
      </c>
    </row>
    <row r="98" spans="1:8" x14ac:dyDescent="0.25">
      <c r="A98" s="2" t="s">
        <v>206</v>
      </c>
      <c r="B98" s="3" t="s">
        <v>51</v>
      </c>
      <c r="C98" s="3" t="s">
        <v>207</v>
      </c>
      <c r="D98" s="84" t="s">
        <v>208</v>
      </c>
      <c r="E98" s="84"/>
      <c r="F98" s="3" t="s">
        <v>57</v>
      </c>
      <c r="G98" s="24">
        <v>9.64</v>
      </c>
      <c r="H98" s="45">
        <v>0</v>
      </c>
    </row>
    <row r="99" spans="1:8" x14ac:dyDescent="0.25">
      <c r="A99" s="27"/>
      <c r="D99" s="53" t="s">
        <v>302</v>
      </c>
      <c r="E99" s="160" t="s">
        <v>51</v>
      </c>
      <c r="F99" s="160"/>
      <c r="G99" s="54">
        <v>9.64</v>
      </c>
      <c r="H99" s="55"/>
    </row>
    <row r="100" spans="1:8" x14ac:dyDescent="0.25">
      <c r="A100" s="2" t="s">
        <v>212</v>
      </c>
      <c r="B100" s="3" t="s">
        <v>51</v>
      </c>
      <c r="C100" s="3" t="s">
        <v>213</v>
      </c>
      <c r="D100" s="84" t="s">
        <v>214</v>
      </c>
      <c r="E100" s="84"/>
      <c r="F100" s="3" t="s">
        <v>57</v>
      </c>
      <c r="G100" s="24">
        <v>10.61</v>
      </c>
      <c r="H100" s="45">
        <v>0</v>
      </c>
    </row>
    <row r="101" spans="1:8" x14ac:dyDescent="0.25">
      <c r="A101" s="27"/>
      <c r="D101" s="53" t="s">
        <v>303</v>
      </c>
      <c r="E101" s="160" t="s">
        <v>51</v>
      </c>
      <c r="F101" s="160"/>
      <c r="G101" s="54">
        <v>12.21</v>
      </c>
      <c r="H101" s="55"/>
    </row>
    <row r="102" spans="1:8" x14ac:dyDescent="0.25">
      <c r="A102" s="2" t="s">
        <v>51</v>
      </c>
      <c r="B102" s="3" t="s">
        <v>51</v>
      </c>
      <c r="C102" s="3" t="s">
        <v>51</v>
      </c>
      <c r="D102" s="53" t="s">
        <v>287</v>
      </c>
      <c r="E102" s="160" t="s">
        <v>51</v>
      </c>
      <c r="F102" s="160"/>
      <c r="G102" s="54">
        <v>-1.6</v>
      </c>
      <c r="H102" s="25" t="s">
        <v>51</v>
      </c>
    </row>
    <row r="103" spans="1:8" x14ac:dyDescent="0.25">
      <c r="A103" s="2" t="s">
        <v>215</v>
      </c>
      <c r="B103" s="3" t="s">
        <v>51</v>
      </c>
      <c r="C103" s="3" t="s">
        <v>216</v>
      </c>
      <c r="D103" s="84" t="s">
        <v>217</v>
      </c>
      <c r="E103" s="84"/>
      <c r="F103" s="3" t="s">
        <v>57</v>
      </c>
      <c r="G103" s="24">
        <v>21.87</v>
      </c>
      <c r="H103" s="45">
        <v>0</v>
      </c>
    </row>
    <row r="104" spans="1:8" x14ac:dyDescent="0.25">
      <c r="A104" s="27"/>
      <c r="D104" s="53" t="s">
        <v>304</v>
      </c>
      <c r="E104" s="160" t="s">
        <v>51</v>
      </c>
      <c r="F104" s="160"/>
      <c r="G104" s="54">
        <v>20.25</v>
      </c>
      <c r="H104" s="55"/>
    </row>
    <row r="105" spans="1:8" x14ac:dyDescent="0.25">
      <c r="A105" s="2" t="s">
        <v>51</v>
      </c>
      <c r="B105" s="3" t="s">
        <v>51</v>
      </c>
      <c r="C105" s="3" t="s">
        <v>51</v>
      </c>
      <c r="D105" s="53" t="s">
        <v>305</v>
      </c>
      <c r="E105" s="160" t="s">
        <v>51</v>
      </c>
      <c r="F105" s="160"/>
      <c r="G105" s="54">
        <v>1.62</v>
      </c>
      <c r="H105" s="25" t="s">
        <v>51</v>
      </c>
    </row>
    <row r="106" spans="1:8" x14ac:dyDescent="0.25">
      <c r="A106" s="56" t="s">
        <v>51</v>
      </c>
      <c r="B106" s="30" t="s">
        <v>51</v>
      </c>
      <c r="C106" s="30" t="s">
        <v>218</v>
      </c>
      <c r="D106" s="154" t="s">
        <v>219</v>
      </c>
      <c r="E106" s="154"/>
      <c r="F106" s="30" t="s">
        <v>51</v>
      </c>
      <c r="G106" s="10" t="s">
        <v>51</v>
      </c>
      <c r="H106" s="32" t="s">
        <v>51</v>
      </c>
    </row>
    <row r="107" spans="1:8" x14ac:dyDescent="0.25">
      <c r="A107" s="2" t="s">
        <v>52</v>
      </c>
      <c r="B107" s="3" t="s">
        <v>51</v>
      </c>
      <c r="C107" s="3" t="s">
        <v>220</v>
      </c>
      <c r="D107" s="84" t="s">
        <v>221</v>
      </c>
      <c r="E107" s="84"/>
      <c r="F107" s="3" t="s">
        <v>57</v>
      </c>
      <c r="G107" s="24">
        <v>165.99379999999999</v>
      </c>
      <c r="H107" s="45">
        <v>0</v>
      </c>
    </row>
    <row r="108" spans="1:8" x14ac:dyDescent="0.25">
      <c r="A108" s="27"/>
      <c r="D108" s="53" t="s">
        <v>306</v>
      </c>
      <c r="E108" s="160" t="s">
        <v>51</v>
      </c>
      <c r="F108" s="160"/>
      <c r="G108" s="54">
        <v>37.9</v>
      </c>
      <c r="H108" s="55"/>
    </row>
    <row r="109" spans="1:8" x14ac:dyDescent="0.25">
      <c r="A109" s="2" t="s">
        <v>51</v>
      </c>
      <c r="B109" s="3" t="s">
        <v>51</v>
      </c>
      <c r="C109" s="3" t="s">
        <v>51</v>
      </c>
      <c r="D109" s="53" t="s">
        <v>307</v>
      </c>
      <c r="E109" s="160" t="s">
        <v>51</v>
      </c>
      <c r="F109" s="160"/>
      <c r="G109" s="54">
        <v>0</v>
      </c>
      <c r="H109" s="25" t="s">
        <v>51</v>
      </c>
    </row>
    <row r="110" spans="1:8" x14ac:dyDescent="0.25">
      <c r="A110" s="2" t="s">
        <v>51</v>
      </c>
      <c r="B110" s="3" t="s">
        <v>51</v>
      </c>
      <c r="C110" s="3" t="s">
        <v>51</v>
      </c>
      <c r="D110" s="53" t="s">
        <v>288</v>
      </c>
      <c r="E110" s="160" t="s">
        <v>51</v>
      </c>
      <c r="F110" s="160"/>
      <c r="G110" s="54">
        <v>16.899000000000001</v>
      </c>
      <c r="H110" s="25" t="s">
        <v>51</v>
      </c>
    </row>
    <row r="111" spans="1:8" x14ac:dyDescent="0.25">
      <c r="A111" s="2" t="s">
        <v>51</v>
      </c>
      <c r="B111" s="3" t="s">
        <v>51</v>
      </c>
      <c r="C111" s="3" t="s">
        <v>51</v>
      </c>
      <c r="D111" s="53" t="s">
        <v>289</v>
      </c>
      <c r="E111" s="160" t="s">
        <v>51</v>
      </c>
      <c r="F111" s="160"/>
      <c r="G111" s="54">
        <v>40.764000000000003</v>
      </c>
      <c r="H111" s="25" t="s">
        <v>51</v>
      </c>
    </row>
    <row r="112" spans="1:8" x14ac:dyDescent="0.25">
      <c r="A112" s="2" t="s">
        <v>51</v>
      </c>
      <c r="B112" s="3" t="s">
        <v>51</v>
      </c>
      <c r="C112" s="3" t="s">
        <v>51</v>
      </c>
      <c r="D112" s="53" t="s">
        <v>291</v>
      </c>
      <c r="E112" s="160" t="s">
        <v>51</v>
      </c>
      <c r="F112" s="160"/>
      <c r="G112" s="54">
        <v>50.851799999999997</v>
      </c>
      <c r="H112" s="25" t="s">
        <v>51</v>
      </c>
    </row>
    <row r="113" spans="1:8" x14ac:dyDescent="0.25">
      <c r="A113" s="2" t="s">
        <v>51</v>
      </c>
      <c r="B113" s="3" t="s">
        <v>51</v>
      </c>
      <c r="C113" s="3" t="s">
        <v>51</v>
      </c>
      <c r="D113" s="53" t="s">
        <v>308</v>
      </c>
      <c r="E113" s="160" t="s">
        <v>51</v>
      </c>
      <c r="F113" s="160"/>
      <c r="G113" s="54">
        <v>32.378999999999998</v>
      </c>
      <c r="H113" s="25" t="s">
        <v>51</v>
      </c>
    </row>
    <row r="114" spans="1:8" x14ac:dyDescent="0.25">
      <c r="A114" s="2" t="s">
        <v>51</v>
      </c>
      <c r="B114" s="3" t="s">
        <v>51</v>
      </c>
      <c r="C114" s="3" t="s">
        <v>51</v>
      </c>
      <c r="D114" s="53" t="s">
        <v>309</v>
      </c>
      <c r="E114" s="160" t="s">
        <v>51</v>
      </c>
      <c r="F114" s="160"/>
      <c r="G114" s="54">
        <v>-4.8</v>
      </c>
      <c r="H114" s="25" t="s">
        <v>51</v>
      </c>
    </row>
    <row r="115" spans="1:8" x14ac:dyDescent="0.25">
      <c r="A115" s="2" t="s">
        <v>51</v>
      </c>
      <c r="B115" s="3" t="s">
        <v>51</v>
      </c>
      <c r="C115" s="3" t="s">
        <v>51</v>
      </c>
      <c r="D115" s="53" t="s">
        <v>310</v>
      </c>
      <c r="E115" s="160" t="s">
        <v>51</v>
      </c>
      <c r="F115" s="160"/>
      <c r="G115" s="54">
        <v>-8</v>
      </c>
      <c r="H115" s="25" t="s">
        <v>51</v>
      </c>
    </row>
    <row r="116" spans="1:8" x14ac:dyDescent="0.25">
      <c r="A116" s="2" t="s">
        <v>223</v>
      </c>
      <c r="B116" s="3" t="s">
        <v>51</v>
      </c>
      <c r="C116" s="3" t="s">
        <v>224</v>
      </c>
      <c r="D116" s="84" t="s">
        <v>225</v>
      </c>
      <c r="E116" s="84"/>
      <c r="F116" s="3" t="s">
        <v>57</v>
      </c>
      <c r="G116" s="24">
        <v>165.99</v>
      </c>
      <c r="H116" s="45">
        <v>0</v>
      </c>
    </row>
    <row r="117" spans="1:8" x14ac:dyDescent="0.25">
      <c r="A117" s="27"/>
      <c r="D117" s="53" t="s">
        <v>311</v>
      </c>
      <c r="E117" s="160" t="s">
        <v>51</v>
      </c>
      <c r="F117" s="160"/>
      <c r="G117" s="54">
        <v>165.99</v>
      </c>
      <c r="H117" s="55"/>
    </row>
    <row r="118" spans="1:8" x14ac:dyDescent="0.25">
      <c r="A118" s="56" t="s">
        <v>51</v>
      </c>
      <c r="B118" s="30" t="s">
        <v>51</v>
      </c>
      <c r="C118" s="30" t="s">
        <v>227</v>
      </c>
      <c r="D118" s="154" t="s">
        <v>228</v>
      </c>
      <c r="E118" s="154"/>
      <c r="F118" s="30" t="s">
        <v>51</v>
      </c>
      <c r="G118" s="10" t="s">
        <v>51</v>
      </c>
      <c r="H118" s="32" t="s">
        <v>51</v>
      </c>
    </row>
    <row r="119" spans="1:8" x14ac:dyDescent="0.25">
      <c r="A119" s="2" t="s">
        <v>229</v>
      </c>
      <c r="B119" s="3" t="s">
        <v>51</v>
      </c>
      <c r="C119" s="3" t="s">
        <v>230</v>
      </c>
      <c r="D119" s="84" t="s">
        <v>231</v>
      </c>
      <c r="E119" s="84"/>
      <c r="F119" s="3" t="s">
        <v>57</v>
      </c>
      <c r="G119" s="24">
        <v>51.7</v>
      </c>
      <c r="H119" s="45">
        <v>0</v>
      </c>
    </row>
    <row r="120" spans="1:8" x14ac:dyDescent="0.25">
      <c r="A120" s="27"/>
      <c r="D120" s="53" t="s">
        <v>284</v>
      </c>
      <c r="E120" s="160" t="s">
        <v>51</v>
      </c>
      <c r="F120" s="160"/>
      <c r="G120" s="54">
        <v>51.7</v>
      </c>
      <c r="H120" s="55"/>
    </row>
    <row r="121" spans="1:8" x14ac:dyDescent="0.25">
      <c r="A121" s="56" t="s">
        <v>51</v>
      </c>
      <c r="B121" s="30" t="s">
        <v>51</v>
      </c>
      <c r="C121" s="30" t="s">
        <v>234</v>
      </c>
      <c r="D121" s="154" t="s">
        <v>235</v>
      </c>
      <c r="E121" s="154"/>
      <c r="F121" s="30" t="s">
        <v>51</v>
      </c>
      <c r="G121" s="10" t="s">
        <v>51</v>
      </c>
      <c r="H121" s="32" t="s">
        <v>51</v>
      </c>
    </row>
    <row r="122" spans="1:8" x14ac:dyDescent="0.25">
      <c r="A122" s="2" t="s">
        <v>236</v>
      </c>
      <c r="B122" s="3" t="s">
        <v>51</v>
      </c>
      <c r="C122" s="3" t="s">
        <v>237</v>
      </c>
      <c r="D122" s="84" t="s">
        <v>238</v>
      </c>
      <c r="E122" s="84"/>
      <c r="F122" s="3" t="s">
        <v>57</v>
      </c>
      <c r="G122" s="24">
        <v>143</v>
      </c>
      <c r="H122" s="45">
        <v>0</v>
      </c>
    </row>
    <row r="123" spans="1:8" x14ac:dyDescent="0.25">
      <c r="A123" s="27"/>
      <c r="D123" s="53" t="s">
        <v>285</v>
      </c>
      <c r="E123" s="160" t="s">
        <v>51</v>
      </c>
      <c r="F123" s="160"/>
      <c r="G123" s="54">
        <v>143</v>
      </c>
      <c r="H123" s="55"/>
    </row>
    <row r="124" spans="1:8" x14ac:dyDescent="0.25">
      <c r="A124" s="2" t="s">
        <v>240</v>
      </c>
      <c r="B124" s="3" t="s">
        <v>51</v>
      </c>
      <c r="C124" s="3" t="s">
        <v>241</v>
      </c>
      <c r="D124" s="84" t="s">
        <v>242</v>
      </c>
      <c r="E124" s="84"/>
      <c r="F124" s="3" t="s">
        <v>57</v>
      </c>
      <c r="G124" s="24">
        <v>51.7</v>
      </c>
      <c r="H124" s="45">
        <v>0</v>
      </c>
    </row>
    <row r="125" spans="1:8" x14ac:dyDescent="0.25">
      <c r="A125" s="27"/>
      <c r="D125" s="53" t="s">
        <v>284</v>
      </c>
      <c r="E125" s="160" t="s">
        <v>51</v>
      </c>
      <c r="F125" s="160"/>
      <c r="G125" s="54">
        <v>51.7</v>
      </c>
      <c r="H125" s="55"/>
    </row>
    <row r="126" spans="1:8" x14ac:dyDescent="0.25">
      <c r="A126" s="56" t="s">
        <v>51</v>
      </c>
      <c r="B126" s="30" t="s">
        <v>51</v>
      </c>
      <c r="C126" s="30" t="s">
        <v>243</v>
      </c>
      <c r="D126" s="154" t="s">
        <v>244</v>
      </c>
      <c r="E126" s="154"/>
      <c r="F126" s="30" t="s">
        <v>51</v>
      </c>
      <c r="G126" s="10" t="s">
        <v>51</v>
      </c>
      <c r="H126" s="32" t="s">
        <v>51</v>
      </c>
    </row>
    <row r="127" spans="1:8" x14ac:dyDescent="0.25">
      <c r="A127" s="2" t="s">
        <v>245</v>
      </c>
      <c r="B127" s="3" t="s">
        <v>51</v>
      </c>
      <c r="C127" s="3" t="s">
        <v>246</v>
      </c>
      <c r="D127" s="84" t="s">
        <v>247</v>
      </c>
      <c r="E127" s="84"/>
      <c r="F127" s="3" t="s">
        <v>248</v>
      </c>
      <c r="G127" s="24">
        <v>8.0020000000000007</v>
      </c>
      <c r="H127" s="45">
        <v>0</v>
      </c>
    </row>
    <row r="128" spans="1:8" x14ac:dyDescent="0.25">
      <c r="A128" s="27"/>
      <c r="D128" s="53" t="s">
        <v>312</v>
      </c>
      <c r="E128" s="160" t="s">
        <v>51</v>
      </c>
      <c r="F128" s="160"/>
      <c r="G128" s="54">
        <v>6.2450000000000001</v>
      </c>
      <c r="H128" s="55"/>
    </row>
    <row r="129" spans="1:8" x14ac:dyDescent="0.25">
      <c r="A129" s="2" t="s">
        <v>51</v>
      </c>
      <c r="B129" s="3" t="s">
        <v>51</v>
      </c>
      <c r="C129" s="3" t="s">
        <v>51</v>
      </c>
      <c r="D129" s="53" t="s">
        <v>313</v>
      </c>
      <c r="E129" s="160" t="s">
        <v>51</v>
      </c>
      <c r="F129" s="160"/>
      <c r="G129" s="54">
        <v>1.7569999999999999</v>
      </c>
      <c r="H129" s="25" t="s">
        <v>51</v>
      </c>
    </row>
    <row r="130" spans="1:8" x14ac:dyDescent="0.25">
      <c r="A130" s="56" t="s">
        <v>51</v>
      </c>
      <c r="B130" s="30" t="s">
        <v>51</v>
      </c>
      <c r="C130" s="30" t="s">
        <v>250</v>
      </c>
      <c r="D130" s="154" t="s">
        <v>251</v>
      </c>
      <c r="E130" s="154"/>
      <c r="F130" s="30" t="s">
        <v>51</v>
      </c>
      <c r="G130" s="10" t="s">
        <v>51</v>
      </c>
      <c r="H130" s="32" t="s">
        <v>51</v>
      </c>
    </row>
    <row r="131" spans="1:8" x14ac:dyDescent="0.25">
      <c r="A131" s="2" t="s">
        <v>252</v>
      </c>
      <c r="B131" s="3" t="s">
        <v>51</v>
      </c>
      <c r="C131" s="3" t="s">
        <v>253</v>
      </c>
      <c r="D131" s="84" t="s">
        <v>251</v>
      </c>
      <c r="E131" s="84"/>
      <c r="F131" s="3" t="s">
        <v>116</v>
      </c>
      <c r="G131" s="24">
        <v>1</v>
      </c>
      <c r="H131" s="45">
        <v>0</v>
      </c>
    </row>
    <row r="132" spans="1:8" x14ac:dyDescent="0.25">
      <c r="A132" s="27"/>
      <c r="D132" s="53" t="s">
        <v>54</v>
      </c>
      <c r="E132" s="160" t="s">
        <v>51</v>
      </c>
      <c r="F132" s="160"/>
      <c r="G132" s="54">
        <v>1</v>
      </c>
      <c r="H132" s="55"/>
    </row>
    <row r="133" spans="1:8" x14ac:dyDescent="0.25">
      <c r="A133" s="56" t="s">
        <v>51</v>
      </c>
      <c r="B133" s="30" t="s">
        <v>51</v>
      </c>
      <c r="C133" s="30" t="s">
        <v>256</v>
      </c>
      <c r="D133" s="154" t="s">
        <v>257</v>
      </c>
      <c r="E133" s="154"/>
      <c r="F133" s="30" t="s">
        <v>51</v>
      </c>
      <c r="G133" s="10" t="s">
        <v>51</v>
      </c>
      <c r="H133" s="32" t="s">
        <v>51</v>
      </c>
    </row>
    <row r="134" spans="1:8" x14ac:dyDescent="0.25">
      <c r="A134" s="2" t="s">
        <v>258</v>
      </c>
      <c r="B134" s="3" t="s">
        <v>51</v>
      </c>
      <c r="C134" s="3" t="s">
        <v>259</v>
      </c>
      <c r="D134" s="84" t="s">
        <v>260</v>
      </c>
      <c r="E134" s="84"/>
      <c r="F134" s="3" t="s">
        <v>248</v>
      </c>
      <c r="G134" s="24">
        <v>2.335</v>
      </c>
      <c r="H134" s="45">
        <v>0</v>
      </c>
    </row>
    <row r="135" spans="1:8" x14ac:dyDescent="0.25">
      <c r="A135" s="27"/>
      <c r="D135" s="53" t="s">
        <v>314</v>
      </c>
      <c r="E135" s="160" t="s">
        <v>51</v>
      </c>
      <c r="F135" s="160"/>
      <c r="G135" s="54">
        <v>1.4770000000000001</v>
      </c>
      <c r="H135" s="55"/>
    </row>
    <row r="136" spans="1:8" x14ac:dyDescent="0.25">
      <c r="A136" s="2" t="s">
        <v>51</v>
      </c>
      <c r="B136" s="3" t="s">
        <v>51</v>
      </c>
      <c r="C136" s="3" t="s">
        <v>51</v>
      </c>
      <c r="D136" s="53" t="s">
        <v>315</v>
      </c>
      <c r="E136" s="160" t="s">
        <v>51</v>
      </c>
      <c r="F136" s="160"/>
      <c r="G136" s="54">
        <v>0.85799999999999998</v>
      </c>
      <c r="H136" s="25" t="s">
        <v>51</v>
      </c>
    </row>
    <row r="137" spans="1:8" x14ac:dyDescent="0.25">
      <c r="A137" s="2" t="s">
        <v>262</v>
      </c>
      <c r="B137" s="3" t="s">
        <v>51</v>
      </c>
      <c r="C137" s="3" t="s">
        <v>263</v>
      </c>
      <c r="D137" s="84" t="s">
        <v>264</v>
      </c>
      <c r="E137" s="84"/>
      <c r="F137" s="3" t="s">
        <v>248</v>
      </c>
      <c r="G137" s="24">
        <v>2.335</v>
      </c>
      <c r="H137" s="45">
        <v>0</v>
      </c>
    </row>
    <row r="138" spans="1:8" x14ac:dyDescent="0.25">
      <c r="A138" s="27"/>
      <c r="D138" s="53" t="s">
        <v>316</v>
      </c>
      <c r="E138" s="160" t="s">
        <v>51</v>
      </c>
      <c r="F138" s="160"/>
      <c r="G138" s="54">
        <v>2.335</v>
      </c>
      <c r="H138" s="55"/>
    </row>
    <row r="139" spans="1:8" x14ac:dyDescent="0.25">
      <c r="A139" s="2" t="s">
        <v>266</v>
      </c>
      <c r="B139" s="3" t="s">
        <v>51</v>
      </c>
      <c r="C139" s="3" t="s">
        <v>267</v>
      </c>
      <c r="D139" s="84" t="s">
        <v>268</v>
      </c>
      <c r="E139" s="84"/>
      <c r="F139" s="3" t="s">
        <v>248</v>
      </c>
      <c r="G139" s="24">
        <v>23.35</v>
      </c>
      <c r="H139" s="45">
        <v>0</v>
      </c>
    </row>
    <row r="140" spans="1:8" x14ac:dyDescent="0.25">
      <c r="A140" s="27"/>
      <c r="D140" s="53" t="s">
        <v>317</v>
      </c>
      <c r="E140" s="160" t="s">
        <v>51</v>
      </c>
      <c r="F140" s="160"/>
      <c r="G140" s="54">
        <v>23.35</v>
      </c>
      <c r="H140" s="55"/>
    </row>
    <row r="141" spans="1:8" x14ac:dyDescent="0.25">
      <c r="A141" s="2" t="s">
        <v>269</v>
      </c>
      <c r="B141" s="3" t="s">
        <v>51</v>
      </c>
      <c r="C141" s="3" t="s">
        <v>270</v>
      </c>
      <c r="D141" s="84" t="s">
        <v>271</v>
      </c>
      <c r="E141" s="84"/>
      <c r="F141" s="3" t="s">
        <v>248</v>
      </c>
      <c r="G141" s="24">
        <v>2.335</v>
      </c>
      <c r="H141" s="45">
        <v>0</v>
      </c>
    </row>
    <row r="142" spans="1:8" x14ac:dyDescent="0.25">
      <c r="A142" s="57"/>
      <c r="B142" s="58"/>
      <c r="C142" s="58"/>
      <c r="D142" s="59" t="s">
        <v>316</v>
      </c>
      <c r="E142" s="161" t="s">
        <v>51</v>
      </c>
      <c r="F142" s="161"/>
      <c r="G142" s="60">
        <v>2.335</v>
      </c>
      <c r="H142" s="61"/>
    </row>
    <row r="144" spans="1:8" x14ac:dyDescent="0.25">
      <c r="A144" s="38" t="s">
        <v>273</v>
      </c>
    </row>
    <row r="145" spans="1:7" ht="12.75" customHeight="1" x14ac:dyDescent="0.25">
      <c r="A145" s="83" t="s">
        <v>51</v>
      </c>
      <c r="B145" s="84"/>
      <c r="C145" s="84"/>
      <c r="D145" s="84"/>
      <c r="E145" s="84"/>
      <c r="F145" s="84"/>
      <c r="G145" s="84"/>
    </row>
  </sheetData>
  <mergeCells count="151">
    <mergeCell ref="F8:H9"/>
    <mergeCell ref="D10:E10"/>
    <mergeCell ref="D11:E11"/>
    <mergeCell ref="D12:E12"/>
    <mergeCell ref="E13:F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  <mergeCell ref="E19:F19"/>
    <mergeCell ref="D20:E20"/>
    <mergeCell ref="D21:E21"/>
    <mergeCell ref="E22:F22"/>
    <mergeCell ref="D23:E23"/>
    <mergeCell ref="D14:E14"/>
    <mergeCell ref="E15:F15"/>
    <mergeCell ref="D16:E16"/>
    <mergeCell ref="E17:F17"/>
    <mergeCell ref="D18:E18"/>
    <mergeCell ref="E29:F29"/>
    <mergeCell ref="E30:F30"/>
    <mergeCell ref="E31:F31"/>
    <mergeCell ref="E32:F32"/>
    <mergeCell ref="E33:F33"/>
    <mergeCell ref="E24:F24"/>
    <mergeCell ref="D25:E25"/>
    <mergeCell ref="E26:F26"/>
    <mergeCell ref="D27:E27"/>
    <mergeCell ref="E28:F28"/>
    <mergeCell ref="E39:F39"/>
    <mergeCell ref="E40:F40"/>
    <mergeCell ref="E41:F41"/>
    <mergeCell ref="D42:E42"/>
    <mergeCell ref="D43:E43"/>
    <mergeCell ref="E34:F34"/>
    <mergeCell ref="E35:F35"/>
    <mergeCell ref="E36:F36"/>
    <mergeCell ref="E37:F37"/>
    <mergeCell ref="E38:F38"/>
    <mergeCell ref="E49:F49"/>
    <mergeCell ref="D50:E50"/>
    <mergeCell ref="D51:E51"/>
    <mergeCell ref="E52:F52"/>
    <mergeCell ref="D53:E53"/>
    <mergeCell ref="E44:F44"/>
    <mergeCell ref="D45:E45"/>
    <mergeCell ref="D46:E46"/>
    <mergeCell ref="E47:F47"/>
    <mergeCell ref="D48:E48"/>
    <mergeCell ref="D59:E59"/>
    <mergeCell ref="E60:F60"/>
    <mergeCell ref="D61:E61"/>
    <mergeCell ref="E62:F62"/>
    <mergeCell ref="D63:E63"/>
    <mergeCell ref="D54:E54"/>
    <mergeCell ref="E55:F55"/>
    <mergeCell ref="D56:E56"/>
    <mergeCell ref="E57:F57"/>
    <mergeCell ref="D58:E58"/>
    <mergeCell ref="D69:E69"/>
    <mergeCell ref="E70:F70"/>
    <mergeCell ref="D71:E71"/>
    <mergeCell ref="E72:F72"/>
    <mergeCell ref="D73:E73"/>
    <mergeCell ref="D64:E64"/>
    <mergeCell ref="E65:F65"/>
    <mergeCell ref="D66:E66"/>
    <mergeCell ref="D67:E67"/>
    <mergeCell ref="E68:F68"/>
    <mergeCell ref="D79:E79"/>
    <mergeCell ref="D80:E80"/>
    <mergeCell ref="E81:F81"/>
    <mergeCell ref="D82:E82"/>
    <mergeCell ref="E83:F83"/>
    <mergeCell ref="E74:F74"/>
    <mergeCell ref="D75:E75"/>
    <mergeCell ref="E76:F76"/>
    <mergeCell ref="D77:E77"/>
    <mergeCell ref="E78:F78"/>
    <mergeCell ref="D89:E89"/>
    <mergeCell ref="E90:F90"/>
    <mergeCell ref="E91:F91"/>
    <mergeCell ref="D92:E92"/>
    <mergeCell ref="D93:E93"/>
    <mergeCell ref="D84:E84"/>
    <mergeCell ref="E85:F85"/>
    <mergeCell ref="D86:E86"/>
    <mergeCell ref="D87:E87"/>
    <mergeCell ref="E88:F88"/>
    <mergeCell ref="E99:F99"/>
    <mergeCell ref="D100:E100"/>
    <mergeCell ref="E101:F101"/>
    <mergeCell ref="E102:F102"/>
    <mergeCell ref="D103:E103"/>
    <mergeCell ref="E94:F94"/>
    <mergeCell ref="D95:E95"/>
    <mergeCell ref="E96:F96"/>
    <mergeCell ref="D97:E97"/>
    <mergeCell ref="D98:E98"/>
    <mergeCell ref="E109:F109"/>
    <mergeCell ref="E110:F110"/>
    <mergeCell ref="E111:F111"/>
    <mergeCell ref="E112:F112"/>
    <mergeCell ref="E113:F113"/>
    <mergeCell ref="E104:F104"/>
    <mergeCell ref="E105:F105"/>
    <mergeCell ref="D106:E106"/>
    <mergeCell ref="D107:E107"/>
    <mergeCell ref="E108:F108"/>
    <mergeCell ref="D119:E119"/>
    <mergeCell ref="E120:F120"/>
    <mergeCell ref="D121:E121"/>
    <mergeCell ref="D122:E122"/>
    <mergeCell ref="E123:F123"/>
    <mergeCell ref="E114:F114"/>
    <mergeCell ref="E115:F115"/>
    <mergeCell ref="D116:E116"/>
    <mergeCell ref="E117:F117"/>
    <mergeCell ref="D118:E118"/>
    <mergeCell ref="E129:F129"/>
    <mergeCell ref="D130:E130"/>
    <mergeCell ref="D131:E131"/>
    <mergeCell ref="E132:F132"/>
    <mergeCell ref="D133:E133"/>
    <mergeCell ref="D124:E124"/>
    <mergeCell ref="E125:F125"/>
    <mergeCell ref="D126:E126"/>
    <mergeCell ref="D127:E127"/>
    <mergeCell ref="E128:F128"/>
    <mergeCell ref="D139:E139"/>
    <mergeCell ref="E140:F140"/>
    <mergeCell ref="D141:E141"/>
    <mergeCell ref="E142:F142"/>
    <mergeCell ref="A145:G145"/>
    <mergeCell ref="D134:E134"/>
    <mergeCell ref="E135:F135"/>
    <mergeCell ref="E136:F136"/>
    <mergeCell ref="D137:E137"/>
    <mergeCell ref="E138:F138"/>
  </mergeCells>
  <pageMargins left="0.39370078740157483" right="0.39370078740157483" top="0.59055118110236227" bottom="0.59055118110236227" header="0" footer="0"/>
  <pageSetup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24" t="s">
        <v>364</v>
      </c>
      <c r="B1" s="125"/>
      <c r="C1" s="125"/>
      <c r="D1" s="125"/>
      <c r="E1" s="125"/>
      <c r="F1" s="125"/>
      <c r="G1" s="125"/>
      <c r="H1" s="125"/>
      <c r="I1" s="125"/>
    </row>
    <row r="2" spans="1:9" x14ac:dyDescent="0.25">
      <c r="A2" s="126" t="s">
        <v>1</v>
      </c>
      <c r="B2" s="127"/>
      <c r="C2" s="132" t="str">
        <f>'Stavební rozpočet'!C2</f>
        <v>KOLÍN, HUSOVA 112, ÚPRAVY BYT. JEDNOTKY Ć. 9</v>
      </c>
      <c r="D2" s="133"/>
      <c r="E2" s="123" t="s">
        <v>5</v>
      </c>
      <c r="F2" s="123" t="str">
        <f>'Stavební rozpočet'!I2</f>
        <v>Město Kolín, Karlovo náměstí  78</v>
      </c>
      <c r="G2" s="127"/>
      <c r="H2" s="123" t="s">
        <v>319</v>
      </c>
      <c r="I2" s="129" t="s">
        <v>320</v>
      </c>
    </row>
    <row r="3" spans="1:9" ht="15" customHeight="1" x14ac:dyDescent="0.25">
      <c r="A3" s="128"/>
      <c r="B3" s="84"/>
      <c r="C3" s="134"/>
      <c r="D3" s="134"/>
      <c r="E3" s="84"/>
      <c r="F3" s="84"/>
      <c r="G3" s="84"/>
      <c r="H3" s="84"/>
      <c r="I3" s="130"/>
    </row>
    <row r="4" spans="1:9" x14ac:dyDescent="0.25">
      <c r="A4" s="121" t="s">
        <v>7</v>
      </c>
      <c r="B4" s="84"/>
      <c r="C4" s="83" t="str">
        <f>'Stavební rozpočet'!C4</f>
        <v>Opravy a stavební úpravy byt. jednotky č.9</v>
      </c>
      <c r="D4" s="84"/>
      <c r="E4" s="83" t="s">
        <v>11</v>
      </c>
      <c r="F4" s="83" t="str">
        <f>'Stavební rozpočet'!I4</f>
        <v>Ing. M. Outlý, O-pro servis Kolín</v>
      </c>
      <c r="G4" s="84"/>
      <c r="H4" s="83" t="s">
        <v>319</v>
      </c>
      <c r="I4" s="130" t="s">
        <v>321</v>
      </c>
    </row>
    <row r="5" spans="1:9" ht="15" customHeight="1" x14ac:dyDescent="0.25">
      <c r="A5" s="128"/>
      <c r="B5" s="84"/>
      <c r="C5" s="84"/>
      <c r="D5" s="84"/>
      <c r="E5" s="84"/>
      <c r="F5" s="84"/>
      <c r="G5" s="84"/>
      <c r="H5" s="84"/>
      <c r="I5" s="130"/>
    </row>
    <row r="6" spans="1:9" x14ac:dyDescent="0.25">
      <c r="A6" s="121" t="s">
        <v>13</v>
      </c>
      <c r="B6" s="84"/>
      <c r="C6" s="83" t="str">
        <f>'Stavební rozpočet'!C6</f>
        <v>Kolín, Husova 112</v>
      </c>
      <c r="D6" s="84"/>
      <c r="E6" s="83" t="s">
        <v>16</v>
      </c>
      <c r="F6" s="83" t="str">
        <f>'Stavební rozpočet'!I6</f>
        <v> </v>
      </c>
      <c r="G6" s="84"/>
      <c r="H6" s="83" t="s">
        <v>319</v>
      </c>
      <c r="I6" s="130" t="s">
        <v>51</v>
      </c>
    </row>
    <row r="7" spans="1:9" ht="15" customHeight="1" x14ac:dyDescent="0.25">
      <c r="A7" s="128"/>
      <c r="B7" s="84"/>
      <c r="C7" s="84"/>
      <c r="D7" s="84"/>
      <c r="E7" s="84"/>
      <c r="F7" s="84"/>
      <c r="G7" s="84"/>
      <c r="H7" s="84"/>
      <c r="I7" s="130"/>
    </row>
    <row r="8" spans="1:9" x14ac:dyDescent="0.25">
      <c r="A8" s="121" t="s">
        <v>9</v>
      </c>
      <c r="B8" s="84"/>
      <c r="C8" s="83" t="str">
        <f>'Stavební rozpočet'!G4</f>
        <v>16.04.2025</v>
      </c>
      <c r="D8" s="84"/>
      <c r="E8" s="83" t="s">
        <v>15</v>
      </c>
      <c r="F8" s="83" t="str">
        <f>'Stavební rozpočet'!G6</f>
        <v xml:space="preserve"> </v>
      </c>
      <c r="G8" s="84"/>
      <c r="H8" s="84" t="s">
        <v>322</v>
      </c>
      <c r="I8" s="131">
        <v>44</v>
      </c>
    </row>
    <row r="9" spans="1:9" x14ac:dyDescent="0.25">
      <c r="A9" s="128"/>
      <c r="B9" s="84"/>
      <c r="C9" s="84"/>
      <c r="D9" s="84"/>
      <c r="E9" s="84"/>
      <c r="F9" s="84"/>
      <c r="G9" s="84"/>
      <c r="H9" s="84"/>
      <c r="I9" s="130"/>
    </row>
    <row r="10" spans="1:9" x14ac:dyDescent="0.25">
      <c r="A10" s="121" t="s">
        <v>18</v>
      </c>
      <c r="B10" s="84"/>
      <c r="C10" s="83" t="str">
        <f>'Stavební rozpočet'!C8</f>
        <v>803</v>
      </c>
      <c r="D10" s="84"/>
      <c r="E10" s="83" t="s">
        <v>21</v>
      </c>
      <c r="F10" s="83" t="str">
        <f>'Stavební rozpočet'!I8</f>
        <v> </v>
      </c>
      <c r="G10" s="84"/>
      <c r="H10" s="84" t="s">
        <v>323</v>
      </c>
      <c r="I10" s="115" t="str">
        <f>'Stavební rozpočet'!G8</f>
        <v>16.04.2025</v>
      </c>
    </row>
    <row r="11" spans="1:9" x14ac:dyDescent="0.25">
      <c r="A11" s="122"/>
      <c r="B11" s="120"/>
      <c r="C11" s="120"/>
      <c r="D11" s="120"/>
      <c r="E11" s="120"/>
      <c r="F11" s="120"/>
      <c r="G11" s="120"/>
      <c r="H11" s="120"/>
      <c r="I11" s="116"/>
    </row>
    <row r="13" spans="1:9" ht="15.75" x14ac:dyDescent="0.25">
      <c r="A13" s="173" t="s">
        <v>365</v>
      </c>
      <c r="B13" s="173"/>
      <c r="C13" s="173"/>
      <c r="D13" s="173"/>
      <c r="E13" s="173"/>
    </row>
    <row r="14" spans="1:9" x14ac:dyDescent="0.25">
      <c r="A14" s="174" t="s">
        <v>366</v>
      </c>
      <c r="B14" s="175"/>
      <c r="C14" s="175"/>
      <c r="D14" s="175"/>
      <c r="E14" s="176"/>
      <c r="F14" s="75" t="s">
        <v>367</v>
      </c>
      <c r="G14" s="75" t="s">
        <v>368</v>
      </c>
      <c r="H14" s="75" t="s">
        <v>369</v>
      </c>
      <c r="I14" s="75" t="s">
        <v>367</v>
      </c>
    </row>
    <row r="15" spans="1:9" x14ac:dyDescent="0.25">
      <c r="A15" s="180" t="s">
        <v>333</v>
      </c>
      <c r="B15" s="181"/>
      <c r="C15" s="181"/>
      <c r="D15" s="181"/>
      <c r="E15" s="182"/>
      <c r="F15" s="76">
        <v>0</v>
      </c>
      <c r="G15" s="77" t="s">
        <v>51</v>
      </c>
      <c r="H15" s="77" t="s">
        <v>51</v>
      </c>
      <c r="I15" s="76">
        <f>F15</f>
        <v>0</v>
      </c>
    </row>
    <row r="16" spans="1:9" x14ac:dyDescent="0.25">
      <c r="A16" s="180" t="s">
        <v>335</v>
      </c>
      <c r="B16" s="181"/>
      <c r="C16" s="181"/>
      <c r="D16" s="181"/>
      <c r="E16" s="182"/>
      <c r="F16" s="76">
        <v>0</v>
      </c>
      <c r="G16" s="77" t="s">
        <v>51</v>
      </c>
      <c r="H16" s="77" t="s">
        <v>51</v>
      </c>
      <c r="I16" s="76">
        <f>F16</f>
        <v>0</v>
      </c>
    </row>
    <row r="17" spans="1:9" x14ac:dyDescent="0.25">
      <c r="A17" s="177" t="s">
        <v>338</v>
      </c>
      <c r="B17" s="178"/>
      <c r="C17" s="178"/>
      <c r="D17" s="178"/>
      <c r="E17" s="179"/>
      <c r="F17" s="78">
        <v>0</v>
      </c>
      <c r="G17" s="79" t="s">
        <v>51</v>
      </c>
      <c r="H17" s="79" t="s">
        <v>51</v>
      </c>
      <c r="I17" s="78">
        <f>F17</f>
        <v>0</v>
      </c>
    </row>
    <row r="18" spans="1:9" x14ac:dyDescent="0.25">
      <c r="A18" s="164" t="s">
        <v>370</v>
      </c>
      <c r="B18" s="165"/>
      <c r="C18" s="165"/>
      <c r="D18" s="165"/>
      <c r="E18" s="166"/>
      <c r="F18" s="80" t="s">
        <v>51</v>
      </c>
      <c r="G18" s="81" t="s">
        <v>51</v>
      </c>
      <c r="H18" s="81" t="s">
        <v>51</v>
      </c>
      <c r="I18" s="82">
        <f>SUM(I15:I17)</f>
        <v>0</v>
      </c>
    </row>
    <row r="20" spans="1:9" x14ac:dyDescent="0.25">
      <c r="A20" s="174" t="s">
        <v>330</v>
      </c>
      <c r="B20" s="175"/>
      <c r="C20" s="175"/>
      <c r="D20" s="175"/>
      <c r="E20" s="176"/>
      <c r="F20" s="75" t="s">
        <v>367</v>
      </c>
      <c r="G20" s="75" t="s">
        <v>368</v>
      </c>
      <c r="H20" s="75" t="s">
        <v>369</v>
      </c>
      <c r="I20" s="75" t="s">
        <v>367</v>
      </c>
    </row>
    <row r="21" spans="1:9" x14ac:dyDescent="0.25">
      <c r="A21" s="180" t="s">
        <v>334</v>
      </c>
      <c r="B21" s="181"/>
      <c r="C21" s="181"/>
      <c r="D21" s="181"/>
      <c r="E21" s="182"/>
      <c r="F21" s="77" t="s">
        <v>51</v>
      </c>
      <c r="G21" s="76">
        <v>2.5</v>
      </c>
      <c r="H21" s="76">
        <f>'Krycí list rozpočtu'!C22</f>
        <v>0</v>
      </c>
      <c r="I21" s="76">
        <f>ROUND((G21/100)*H21,2)</f>
        <v>0</v>
      </c>
    </row>
    <row r="22" spans="1:9" x14ac:dyDescent="0.25">
      <c r="A22" s="180" t="s">
        <v>336</v>
      </c>
      <c r="B22" s="181"/>
      <c r="C22" s="181"/>
      <c r="D22" s="181"/>
      <c r="E22" s="182"/>
      <c r="F22" s="76">
        <v>0</v>
      </c>
      <c r="G22" s="77" t="s">
        <v>51</v>
      </c>
      <c r="H22" s="77" t="s">
        <v>51</v>
      </c>
      <c r="I22" s="76">
        <f>F22</f>
        <v>0</v>
      </c>
    </row>
    <row r="23" spans="1:9" x14ac:dyDescent="0.25">
      <c r="A23" s="180" t="s">
        <v>339</v>
      </c>
      <c r="B23" s="181"/>
      <c r="C23" s="181"/>
      <c r="D23" s="181"/>
      <c r="E23" s="182"/>
      <c r="F23" s="76">
        <v>0</v>
      </c>
      <c r="G23" s="77" t="s">
        <v>51</v>
      </c>
      <c r="H23" s="77" t="s">
        <v>51</v>
      </c>
      <c r="I23" s="76">
        <f>F23</f>
        <v>0</v>
      </c>
    </row>
    <row r="24" spans="1:9" x14ac:dyDescent="0.25">
      <c r="A24" s="180" t="s">
        <v>340</v>
      </c>
      <c r="B24" s="181"/>
      <c r="C24" s="181"/>
      <c r="D24" s="181"/>
      <c r="E24" s="182"/>
      <c r="F24" s="76">
        <v>0</v>
      </c>
      <c r="G24" s="77" t="s">
        <v>51</v>
      </c>
      <c r="H24" s="77" t="s">
        <v>51</v>
      </c>
      <c r="I24" s="76">
        <f>F24</f>
        <v>0</v>
      </c>
    </row>
    <row r="25" spans="1:9" x14ac:dyDescent="0.25">
      <c r="A25" s="180" t="s">
        <v>342</v>
      </c>
      <c r="B25" s="181"/>
      <c r="C25" s="181"/>
      <c r="D25" s="181"/>
      <c r="E25" s="182"/>
      <c r="F25" s="76">
        <v>0</v>
      </c>
      <c r="G25" s="77" t="s">
        <v>51</v>
      </c>
      <c r="H25" s="77" t="s">
        <v>51</v>
      </c>
      <c r="I25" s="76">
        <f>F25</f>
        <v>0</v>
      </c>
    </row>
    <row r="26" spans="1:9" x14ac:dyDescent="0.25">
      <c r="A26" s="177" t="s">
        <v>343</v>
      </c>
      <c r="B26" s="178"/>
      <c r="C26" s="178"/>
      <c r="D26" s="178"/>
      <c r="E26" s="179"/>
      <c r="F26" s="78">
        <v>0</v>
      </c>
      <c r="G26" s="79" t="s">
        <v>51</v>
      </c>
      <c r="H26" s="79" t="s">
        <v>51</v>
      </c>
      <c r="I26" s="78">
        <f>F26</f>
        <v>0</v>
      </c>
    </row>
    <row r="27" spans="1:9" x14ac:dyDescent="0.25">
      <c r="A27" s="164" t="s">
        <v>371</v>
      </c>
      <c r="B27" s="165"/>
      <c r="C27" s="165"/>
      <c r="D27" s="165"/>
      <c r="E27" s="166"/>
      <c r="F27" s="80" t="s">
        <v>51</v>
      </c>
      <c r="G27" s="81" t="s">
        <v>51</v>
      </c>
      <c r="H27" s="81" t="s">
        <v>51</v>
      </c>
      <c r="I27" s="82">
        <f>SUM(I21:I26)</f>
        <v>0</v>
      </c>
    </row>
    <row r="29" spans="1:9" ht="15.75" x14ac:dyDescent="0.25">
      <c r="A29" s="167" t="s">
        <v>372</v>
      </c>
      <c r="B29" s="168"/>
      <c r="C29" s="168"/>
      <c r="D29" s="168"/>
      <c r="E29" s="169"/>
      <c r="F29" s="170">
        <f>I18+I27</f>
        <v>0</v>
      </c>
      <c r="G29" s="171"/>
      <c r="H29" s="171"/>
      <c r="I29" s="172"/>
    </row>
    <row r="33" spans="1:9" ht="15.75" x14ac:dyDescent="0.25">
      <c r="A33" s="173" t="s">
        <v>373</v>
      </c>
      <c r="B33" s="173"/>
      <c r="C33" s="173"/>
      <c r="D33" s="173"/>
      <c r="E33" s="173"/>
    </row>
    <row r="34" spans="1:9" x14ac:dyDescent="0.25">
      <c r="A34" s="174" t="s">
        <v>374</v>
      </c>
      <c r="B34" s="175"/>
      <c r="C34" s="175"/>
      <c r="D34" s="175"/>
      <c r="E34" s="176"/>
      <c r="F34" s="75" t="s">
        <v>367</v>
      </c>
      <c r="G34" s="75" t="s">
        <v>368</v>
      </c>
      <c r="H34" s="75" t="s">
        <v>369</v>
      </c>
      <c r="I34" s="75" t="s">
        <v>367</v>
      </c>
    </row>
    <row r="35" spans="1:9" x14ac:dyDescent="0.25">
      <c r="A35" s="177" t="s">
        <v>51</v>
      </c>
      <c r="B35" s="178"/>
      <c r="C35" s="178"/>
      <c r="D35" s="178"/>
      <c r="E35" s="179"/>
      <c r="F35" s="78">
        <v>0</v>
      </c>
      <c r="G35" s="79" t="s">
        <v>51</v>
      </c>
      <c r="H35" s="79" t="s">
        <v>51</v>
      </c>
      <c r="I35" s="78">
        <f>F35</f>
        <v>0</v>
      </c>
    </row>
    <row r="36" spans="1:9" x14ac:dyDescent="0.25">
      <c r="A36" s="164" t="s">
        <v>375</v>
      </c>
      <c r="B36" s="165"/>
      <c r="C36" s="165"/>
      <c r="D36" s="165"/>
      <c r="E36" s="166"/>
      <c r="F36" s="80" t="s">
        <v>51</v>
      </c>
      <c r="G36" s="81" t="s">
        <v>51</v>
      </c>
      <c r="H36" s="81" t="s">
        <v>51</v>
      </c>
      <c r="I36" s="82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Krycí list rozpočtu</vt:lpstr>
      <vt:lpstr>Rozpočet - Jen podskupiny</vt:lpstr>
      <vt:lpstr>Stavební rozpočet</vt:lpstr>
      <vt:lpstr>Výkaz výměr</vt:lpstr>
      <vt:lpstr>VORN</vt:lpstr>
      <vt:lpstr>'Stavební rozpočet'!Názvy_tisku</vt:lpstr>
      <vt:lpstr>'Výkaz výměr'!Názvy_tisku</vt:lpstr>
      <vt:lpstr>vorn_sum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Martin Outlý</cp:lastModifiedBy>
  <dcterms:created xsi:type="dcterms:W3CDTF">2021-06-10T20:06:38Z</dcterms:created>
  <dcterms:modified xsi:type="dcterms:W3CDTF">2025-04-24T09:13:22Z</dcterms:modified>
</cp:coreProperties>
</file>